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ReadMe" sheetId="1" r:id="rId1"/>
    <sheet name="AssumptionsLog" sheetId="2" r:id="rId2"/>
    <sheet name="Model" sheetId="3" r:id="rId3"/>
    <sheet name="CashFlow" sheetId="4" r:id="rId4"/>
    <sheet name="WhoPays" sheetId="5" r:id="rId5"/>
    <sheet name="Sensitivity" sheetId="6" r:id="rId6"/>
  </sheets>
  <calcPr calcId="191029" fullCalcOnLoad="1"/>
</workbook>
</file>

<file path=xl/styles.xml><?xml version="1.0" encoding="utf-8"?>
<styleSheet xmlns="http://schemas.openxmlformats.org/spreadsheetml/2006/main">
  <numFmts count="5">
    <numFmt numFmtId="164" formatCode="&quot;$&quot;#,##0"/>
    <numFmt numFmtId="165" formatCode="0.0%"/>
    <numFmt numFmtId="166" formatCode="#,##0"/>
    <numFmt numFmtId="167" formatCode="0.0000"/>
    <numFmt numFmtId="168" formatCode="&quot;$&quot;#,##0.0000"/>
  </numFmts>
  <fonts count="3">
    <font>
      <sz val="11"/>
      <name val="Calibri"/>
    </font>
    <font>
      <b/>
      <sz val="11"/>
      <name val="Calibri"/>
    </font>
    <font>
      <b/>
      <sz val="14"/>
      <name val="Calibri"/>
    </font>
  </fonts>
  <fills count="4">
    <fill>
      <patternFill patternType="none"/>
    </fill>
    <fill>
      <patternFill patternType="gray125"/>
    </fill>
    <fill>
      <patternFill patternType="solid">
        <fgColor rgb="FFFFF4CC"/>
      </patternFill>
    </fill>
    <fill>
      <patternFill patternType="solid">
        <fgColor rgb="FFE8EEF7"/>
      </patternFill>
    </fill>
  </fills>
  <borders count="1">
    <border/>
  </borders>
  <cellStyleXfs count="1">
    <xf numFmtId="0" fontId="0" fillId="0" borderId="0"/>
  </cellStyleXfs>
  <cellXfs count="12">
    <xf numFmtId="0" fontId="0" fillId="0" borderId="0" xfId="0"/>
    <xf numFmtId="0" fontId="1" fillId="3" borderId="0" xfId="0" applyFont="1" applyFill="1"/>
    <xf numFmtId="0" fontId="2" fillId="0" borderId="0" xfId="0" applyFont="1"/>
    <xf numFmtId="164" fontId="0" fillId="0" borderId="0" xfId="0" applyNumberFormat="1"/>
    <xf numFmtId="165" fontId="0" fillId="0" borderId="0" xfId="0" applyNumberFormat="1"/>
    <xf numFmtId="166" fontId="0" fillId="0" borderId="0" xfId="0" applyNumberFormat="1"/>
    <xf numFmtId="167" fontId="0" fillId="0" borderId="0" xfId="0" applyNumberFormat="1"/>
    <xf numFmtId="168" fontId="0" fillId="0" borderId="0" xfId="0" applyNumberFormat="1"/>
    <xf numFmtId="0" fontId="0" fillId="2" borderId="0" xfId="0" applyFill="1"/>
    <xf numFmtId="164" fontId="1" fillId="0" borderId="0" xfId="0" applyNumberFormat="1" applyFont="1"/>
    <xf numFmtId="0" fontId="0" fillId="0" borderId="0" xfId="0" applyAlignment="1">
      <alignment wrapText="1" vertical="top"/>
    </xf>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10" customWidth="1"/>
  </cols>
  <sheetData>
    <row r="1">
      <c r="A1" s="2" t="inlineStr">
        <is>
          <t xml:space="preserve">CK-A, the Analyst checkpoint: an auditable spreadsheet for a school's solar + battery (worked solution)</t>
        </is>
      </c>
    </row>
    <row r="2">
      <c r="A2" s="0" t="inlineStr">
        <is>
          <t xml:space="preserve">Energy Systems, Step by Step · Learn · built by scripts/build_learn_cka_sheet.py on 2026-11-06. Text CC BY 4.0, Honglin Li.</t>
        </is>
      </c>
    </row>
    <row r="3">
      <c r="A3" s="0"/>
    </row>
    <row r="4">
      <c r="A4" s="10" t="inlineStr">
        <is>
          <t xml:space="preserve">The case: Prairie Town High School (fictional) puts 250 kW-DC of rooftop solar and a 150 kW / 300 kWh battery behind its meter. Should the school district do it, and who pays and who benefits?</t>
        </is>
      </c>
    </row>
    <row r="5">
      <c r="A5" s="10" t="inlineStr">
        <is>
          <t xml:space="preserve">Deliver: (1) a boundary statement; (2) an assumptions log: every input with its value, unit, type, source and date, and a low and high value for the ones you test; (3) a model whose every number is a formula you can trace; (4) who pays and who benefits, with transfers kept apart from real costs; (5) a sensitivity of the main result.</t>
        </is>
      </c>
    </row>
    <row r="6">
      <c r="A6" s="10" t="inlineStr">
        <is>
          <t xml:space="preserve">Money: 2025 dollars, real (no inflation). Convert costs from other dollar years with the price index given in the log.</t>
        </is>
      </c>
    </row>
    <row r="7">
      <c r="A7" s="10" t="inlineStr">
        <is>
          <t xml:space="preserve">End value: the replacement battery (bought at the end of year 15, a 15-year life) has 5 of its 15 years left at year 25: count 5/15 of its cost as a residual value at year 25 (straight line).</t>
        </is>
      </c>
    </row>
    <row r="8">
      <c r="A8" s="10" t="inlineStr">
        <is>
          <t xml:space="preserve">Battery energy: about 200 equivalent full cycles a year, each taking in 300 kWh from the school's supply and returning 90%; the 10% lost is bought at the energy charge.</t>
        </is>
      </c>
    </row>
    <row r="9">
      <c r="A9" s="10" t="inlineStr">
        <is>
          <t xml:space="preserve">Rate reset: assume the utility recovers its whole remaining revenue shortfall from its other customers at the next rate reset.</t>
        </is>
      </c>
    </row>
    <row r="10">
      <c r="A10" s="0"/>
    </row>
    <row r="11">
      <c r="A11" s="10" t="inlineStr">
        <is>
          <t xml:space="preserve">Sheets: AssumptionsLog (inputs, sources, ranges) → Model (closed form, base and 16 scenario columns) → CashFlow (year by year, checks the Model) → WhoPays (parties, gross and net) → Sensitivity (sorted by swing).</t>
        </is>
      </c>
    </row>
    <row r="12">
      <c r="A12" s="10" t="inlineStr">
        <is>
          <t xml:space="preserve">Every number is a live formula; the cached values are what the course's test recomputes. Change an input in AssumptionsLog column C and the whole workbook follows.</t>
        </is>
      </c>
    </row>
    <row r="13">
      <c r="A13" s="10" t="inlineStr">
        <is>
          <t xml:space="preserve">Illustrative values are labelled as such in the log: they stand for numbers a real study would measure or take from the school's own bills and the utility's tariff sheet.</t>
        </is>
      </c>
    </row>
  </sheetData>
</worksheet>
</file>

<file path=xl/worksheets/sheet2.xml><?xml version="1.0" encoding="utf-8"?>
<worksheet xmlns="http://schemas.openxmlformats.org/spreadsheetml/2006/main">
  <sheetViews>
    <sheetView workbookViewId="0"/>
  </sheetViews>
  <sheetFormatPr defaultRowHeight="15"/>
  <cols>
    <col min="1" max="1" width="9" customWidth="1"/>
    <col min="2" max="2" width="46" customWidth="1"/>
    <col min="3" max="3" width="14" customWidth="1"/>
    <col min="4" max="4" width="20" customWidth="1"/>
    <col min="5" max="5" width="13" customWidth="1"/>
    <col min="6" max="6" width="60" customWidth="1"/>
    <col min="7" max="7" width="22" customWidth="1"/>
    <col min="8" max="8" width="60" customWidth="1"/>
    <col min="9" max="9" width="12" customWidth="1"/>
    <col min="10" max="10" width="12" customWidth="1"/>
  </cols>
  <sheetData>
    <row r="1">
      <c r="A1" s="2" t="inlineStr">
        <is>
          <t xml:space="preserve">Assumptions log: every input, its type, its source and the range used in the sensitivity</t>
        </is>
      </c>
    </row>
    <row r="2">
      <c r="A2" s="10" t="inlineStr">
        <is>
          <t xml:space="preserve">Type: Sourced (a dated public document), Course data (from another Learn page's data), Illustrative (a stated choice for this case), Choice (a design decision), Derived (a formula on this sheet). All money in 2025 dollars unless the unit says otherwise.</t>
        </is>
      </c>
    </row>
    <row r="4">
      <c r="A4" s="1" t="inlineStr">
        <is>
          <t xml:space="preserve">ID</t>
        </is>
      </c>
      <c r="B4" s="1" t="inlineStr">
        <is>
          <t xml:space="preserve">Input</t>
        </is>
      </c>
      <c r="C4" s="1" t="inlineStr">
        <is>
          <t xml:space="preserve">Value</t>
        </is>
      </c>
      <c r="D4" s="1" t="inlineStr">
        <is>
          <t xml:space="preserve">Unit</t>
        </is>
      </c>
      <c r="E4" s="1" t="inlineStr">
        <is>
          <t xml:space="preserve">Type</t>
        </is>
      </c>
      <c r="F4" s="1" t="inlineStr">
        <is>
          <t xml:space="preserve">Source (document, table, page)</t>
        </is>
      </c>
      <c r="G4" s="1" t="inlineStr">
        <is>
          <t xml:space="preserve">As of</t>
        </is>
      </c>
      <c r="H4" s="1" t="inlineStr">
        <is>
          <t xml:space="preserve">Note</t>
        </is>
      </c>
      <c r="I4" s="1" t="inlineStr">
        <is>
          <t xml:space="preserve">Low</t>
        </is>
      </c>
      <c r="J4" s="1" t="inlineStr">
        <is>
          <t xml:space="preserve">High</t>
        </is>
      </c>
    </row>
    <row r="5">
      <c r="A5" s="0" t="inlineStr">
        <is>
          <t xml:space="preserve">pvKW</t>
        </is>
      </c>
      <c r="B5" s="0" t="inlineStr">
        <is>
          <t xml:space="preserve">Solar array size</t>
        </is>
      </c>
      <c r="C5" s="5">
        <v>250</v>
      </c>
      <c r="D5" s="0" t="inlineStr">
        <is>
          <t xml:space="preserve">kW-DC</t>
        </is>
      </c>
      <c r="E5" s="0" t="inlineStr">
        <is>
          <t xml:space="preserve">Choice</t>
        </is>
      </c>
      <c r="F5" s="10" t="inlineStr">
        <is>
          <t xml:space="preserve">EIA distributed-generation cost report (2024): https://www.eia.gov/analysis/studies/buildings/dg_storage_chp/pdf/dg_storage_chp.pdf</t>
        </is>
      </c>
      <c r="G5" s="0" t="inlineStr">
        <is>
          <t xml:space="preserve">March 2024; read 6 Nov 2026</t>
        </is>
      </c>
      <c r="H5" s="10" t="inlineStr">
        <is>
          <t xml:space="preserve">The report's medium commercial rooftop system; the school roof is assumed to fit it.</t>
        </is>
      </c>
    </row>
    <row r="6">
      <c r="A6" s="0" t="inlineStr">
        <is>
          <t xml:space="preserve">pvCF</t>
        </is>
      </c>
      <c r="B6" s="0" t="inlineStr">
        <is>
          <t xml:space="preserve">Solar capacity factor</t>
        </is>
      </c>
      <c r="C6" s="4">
        <v>0.178</v>
      </c>
      <c r="D6" s="0" t="inlineStr">
        <is>
          <t xml:space="preserve">fraction</t>
        </is>
      </c>
      <c r="E6" s="0" t="inlineStr">
        <is>
          <t xml:space="preserve">Sourced</t>
        </is>
      </c>
      <c r="F6" s="10" t="inlineStr">
        <is>
          <t xml:space="preserve">EIA distributed-generation cost report (2024): https://www.eia.gov/analysis/studies/buildings/dg_storage_chp/pdf/dg_storage_chp.pdf</t>
        </is>
      </c>
      <c r="G6" s="0" t="inlineStr">
        <is>
          <t xml:space="preserve">March 2024; read 6 Nov 2026</t>
        </is>
      </c>
      <c r="H6" s="10" t="inlineStr">
        <is>
          <t xml:space="preserve">Table 2-5, 250 kW-DC, 2022, U.S. average; Kansas sun may differ.</t>
        </is>
      </c>
      <c r="I6" s="4">
        <f>C6*0.9</f>
        <v>0.1602</v>
      </c>
      <c r="J6" s="4">
        <f>C6*1.1</f>
        <v>0.1958</v>
      </c>
    </row>
    <row r="7">
      <c r="A7" s="0" t="inlineStr">
        <is>
          <t xml:space="preserve">self</t>
        </is>
      </c>
      <c r="B7" s="0" t="inlineStr">
        <is>
          <t xml:space="preserve">Share of solar output used at the school</t>
        </is>
      </c>
      <c r="C7" s="4">
        <v>0.75</v>
      </c>
      <c r="D7" s="0" t="inlineStr">
        <is>
          <t xml:space="preserve">fraction</t>
        </is>
      </c>
      <c r="E7" s="0" t="inlineStr">
        <is>
          <t xml:space="preserve">Illustrative</t>
        </is>
      </c>
      <c r="F7" s="10" t="inlineStr">
        <is>
          <t xml:space="preserve">This case (stated choice)</t>
        </is>
      </c>
      <c r="G7" s="0" t="inlineStr">
        <is>
          <t xml:space="preserve">2026-11-06</t>
        </is>
      </c>
      <c r="H7" s="10" t="inlineStr">
        <is>
          <t xml:space="preserve">Summer break and weekends send the rest to the grid.</t>
        </is>
      </c>
      <c r="I7" s="4">
        <v>0.6</v>
      </c>
      <c r="J7" s="4">
        <v>0.9</v>
      </c>
    </row>
    <row r="8">
      <c r="A8" s="0" t="inlineStr">
        <is>
          <t xml:space="preserve">batKW</t>
        </is>
      </c>
      <c r="B8" s="0" t="inlineStr">
        <is>
          <t xml:space="preserve">Battery power</t>
        </is>
      </c>
      <c r="C8" s="5">
        <v>150</v>
      </c>
      <c r="D8" s="0" t="inlineStr">
        <is>
          <t xml:space="preserve">kW</t>
        </is>
      </c>
      <c r="E8" s="0" t="inlineStr">
        <is>
          <t xml:space="preserve">Choice</t>
        </is>
      </c>
      <c r="F8" s="10" t="inlineStr">
        <is>
          <t xml:space="preserve">EIA distributed-generation cost report (2024): https://www.eia.gov/analysis/studies/buildings/dg_storage_chp/pdf/dg_storage_chp.pdf</t>
        </is>
      </c>
      <c r="G8" s="0" t="inlineStr">
        <is>
          <t xml:space="preserve">March 2024; read 6 Nov 2026</t>
        </is>
      </c>
      <c r="H8" s="10" t="inlineStr">
        <is>
          <t xml:space="preserve">The report's medium commercial battery.</t>
        </is>
      </c>
    </row>
    <row r="9">
      <c r="A9" s="0" t="inlineStr">
        <is>
          <t xml:space="preserve">batKWh</t>
        </is>
      </c>
      <c r="B9" s="0" t="inlineStr">
        <is>
          <t xml:space="preserve">Battery energy</t>
        </is>
      </c>
      <c r="C9" s="5">
        <v>300</v>
      </c>
      <c r="D9" s="0" t="inlineStr">
        <is>
          <t xml:space="preserve">kWh</t>
        </is>
      </c>
      <c r="E9" s="0" t="inlineStr">
        <is>
          <t xml:space="preserve">Choice</t>
        </is>
      </c>
      <c r="F9" s="10" t="inlineStr">
        <is>
          <t xml:space="preserve">EIA distributed-generation cost report (2024): https://www.eia.gov/analysis/studies/buildings/dg_storage_chp/pdf/dg_storage_chp.pdf</t>
        </is>
      </c>
      <c r="G9" s="0" t="inlineStr">
        <is>
          <t xml:space="preserve">March 2024; read 6 Nov 2026</t>
        </is>
      </c>
      <c r="H9" s="10" t="inlineStr">
        <is>
          <t xml:space="preserve">Two hours at full power; the energy it takes in on each full cycle.</t>
        </is>
      </c>
    </row>
    <row r="10">
      <c r="A10" s="0" t="inlineStr">
        <is>
          <t xml:space="preserve">cut</t>
        </is>
      </c>
      <c r="B10" s="0" t="inlineStr">
        <is>
          <t xml:space="preserve">Average cut in the monthly billed peak, share of battery power</t>
        </is>
      </c>
      <c r="C10" s="4">
        <v>0.6</v>
      </c>
      <c r="D10" s="0" t="inlineStr">
        <is>
          <t xml:space="preserve">fraction</t>
        </is>
      </c>
      <c r="E10" s="0" t="inlineStr">
        <is>
          <t xml:space="preserve">Illustrative</t>
        </is>
      </c>
      <c r="F10" s="10" t="inlineStr">
        <is>
          <t xml:space="preserve">This case (stated choice)</t>
        </is>
      </c>
      <c r="G10" s="0" t="inlineStr">
        <is>
          <t xml:space="preserve">2026-11-06</t>
        </is>
      </c>
      <c r="H10" s="10" t="inlineStr">
        <is>
          <t xml:space="preserve">A battery misses some peaks (forecast errors, long peaks, an empty battery).</t>
        </is>
      </c>
      <c r="I10" s="4">
        <v>0.3</v>
      </c>
      <c r="J10" s="4">
        <v>0.9</v>
      </c>
    </row>
    <row r="11">
      <c r="A11" s="0" t="inlineStr">
        <is>
          <t xml:space="preserve">cycles</t>
        </is>
      </c>
      <c r="B11" s="0" t="inlineStr">
        <is>
          <t xml:space="preserve">Battery full cycles a year (each takes in 300 kWh)</t>
        </is>
      </c>
      <c r="C11" s="5">
        <v>200</v>
      </c>
      <c r="D11" s="0" t="inlineStr">
        <is>
          <t xml:space="preserve">per year</t>
        </is>
      </c>
      <c r="E11" s="0" t="inlineStr">
        <is>
          <t xml:space="preserve">Illustrative</t>
        </is>
      </c>
      <c r="F11" s="10" t="inlineStr">
        <is>
          <t xml:space="preserve">This case (stated choice)</t>
        </is>
      </c>
      <c r="G11" s="0" t="inlineStr">
        <is>
          <t xml:space="preserve">2026-11-06</t>
        </is>
      </c>
      <c r="H11" s="10" t="inlineStr">
        <is>
          <t xml:space="preserve">About one per school day. Equivalent full cycles: partial charges add up to whole ones. Each takes in 300 kWh and returns 90% of it; the 10% lost is bought at the energy charge.</t>
        </is>
      </c>
    </row>
    <row r="12">
      <c r="A12" s="0" t="inlineStr">
        <is>
          <t xml:space="preserve">rte</t>
        </is>
      </c>
      <c r="B12" s="0" t="inlineStr">
        <is>
          <t xml:space="preserve">Battery round trip efficiency</t>
        </is>
      </c>
      <c r="C12" s="4">
        <v>0.9</v>
      </c>
      <c r="D12" s="0" t="inlineStr">
        <is>
          <t xml:space="preserve">fraction</t>
        </is>
      </c>
      <c r="E12" s="0" t="inlineStr">
        <is>
          <t xml:space="preserve">Sourced</t>
        </is>
      </c>
      <c r="F12" s="10" t="inlineStr">
        <is>
          <t xml:space="preserve">EIA distributed-generation cost report (2024): https://www.eia.gov/analysis/studies/buildings/dg_storage_chp/pdf/dg_storage_chp.pdf</t>
        </is>
      </c>
      <c r="G12" s="0" t="inlineStr">
        <is>
          <t xml:space="preserve">March 2024; read 6 Nov 2026</t>
        </is>
      </c>
      <c r="H12" s="10" t="inlineStr">
        <is>
          <t xml:space="preserve">Table 3-3, 2022: the share of the energy put in that comes back out.</t>
        </is>
      </c>
    </row>
    <row r="13">
      <c r="A13" s="0" t="inlineStr">
        <is>
          <t xml:space="preserve">use</t>
        </is>
      </c>
      <c r="B13" s="0" t="inlineStr">
        <is>
          <t xml:space="preserve">School electricity use</t>
        </is>
      </c>
      <c r="C13" s="5">
        <v>1000000</v>
      </c>
      <c r="D13" s="0" t="inlineStr">
        <is>
          <t xml:space="preserve">kWh a year</t>
        </is>
      </c>
      <c r="E13" s="0" t="inlineStr">
        <is>
          <t xml:space="preserve">Illustrative</t>
        </is>
      </c>
      <c r="F13" s="10" t="inlineStr">
        <is>
          <t xml:space="preserve">This case (stated choice)</t>
        </is>
      </c>
      <c r="G13" s="0" t="inlineStr">
        <is>
          <t xml:space="preserve">2026-11-06</t>
        </is>
      </c>
      <c r="H13" s="10" t="inlineStr">
        <is>
          <t xml:space="preserve">A large high school; not a measured building.</t>
        </is>
      </c>
    </row>
    <row r="14">
      <c r="A14" s="0" t="inlineStr">
        <is>
          <t xml:space="preserve">peak</t>
        </is>
      </c>
      <c r="B14" s="0" t="inlineStr">
        <is>
          <t xml:space="preserve">School monthly billed peak</t>
        </is>
      </c>
      <c r="C14" s="5">
        <v>400</v>
      </c>
      <c r="D14" s="0" t="inlineStr">
        <is>
          <t xml:space="preserve">kW</t>
        </is>
      </c>
      <c r="E14" s="0" t="inlineStr">
        <is>
          <t xml:space="preserve">Illustrative</t>
        </is>
      </c>
      <c r="F14" s="10" t="inlineStr">
        <is>
          <t xml:space="preserve">This case (stated choice)</t>
        </is>
      </c>
      <c r="G14" s="0" t="inlineStr">
        <is>
          <t xml:space="preserve">2026-11-06</t>
        </is>
      </c>
      <c r="H14" s="10" t="inlineStr">
        <is>
          <t xml:space="preserve">Taken as the same every month.</t>
        </is>
      </c>
    </row>
    <row r="15">
      <c r="A15" s="0" t="inlineStr">
        <is>
          <t xml:space="preserve">price</t>
        </is>
      </c>
      <c r="B15" s="0" t="inlineStr">
        <is>
          <t xml:space="preserve">Average commercial electricity price, Kansas</t>
        </is>
      </c>
      <c r="C15" s="7">
        <v>0.1117</v>
      </c>
      <c r="D15" s="0" t="inlineStr">
        <is>
          <t xml:space="preserve">$/kWh</t>
        </is>
      </c>
      <c r="E15" s="0" t="inlineStr">
        <is>
          <t xml:space="preserve">Sourced</t>
        </is>
      </c>
      <c r="F15" s="10" t="inlineStr">
        <is>
          <t xml:space="preserve">EIA Electric Power Monthly, Table 5.6.B: https://www.eia.gov/electricity/monthly/epm_table_grapher.php?t=epmt_5_6_b</t>
        </is>
      </c>
      <c r="G15" s="0" t="inlineStr">
        <is>
          <t xml:space="preserve">issue of 23 Oct 2026</t>
        </is>
      </c>
      <c r="H15" s="10" t="inlineStr">
        <is>
          <t xml:space="preserve">January to August 2025; includes demand charges. The tariff below is set to give the school this average before the project.</t>
        </is>
      </c>
      <c r="I15" s="7">
        <f>C15*0.8</f>
        <v>0.08936</v>
      </c>
      <c r="J15" s="7">
        <f>C15*1.2</f>
        <v>0.13404</v>
      </c>
    </row>
    <row r="16">
      <c r="A16" s="0" t="inlineStr">
        <is>
          <t xml:space="preserve">demand</t>
        </is>
      </c>
      <c r="B16" s="0" t="inlineStr">
        <is>
          <t xml:space="preserve">Demand charge</t>
        </is>
      </c>
      <c r="C16" s="3">
        <v>10</v>
      </c>
      <c r="D16" s="0" t="inlineStr">
        <is>
          <t xml:space="preserve">$/kW-month</t>
        </is>
      </c>
      <c r="E16" s="0" t="inlineStr">
        <is>
          <t xml:space="preserve">Illustrative</t>
        </is>
      </c>
      <c r="F16" s="10" t="inlineStr">
        <is>
          <t xml:space="preserve">This case (stated choice)</t>
        </is>
      </c>
      <c r="G16" s="0" t="inlineStr">
        <is>
          <t xml:space="preserve">2026-11-06</t>
        </is>
      </c>
      <c r="H16" s="10" t="inlineStr">
        <is>
          <t xml:space="preserve">A two-part tariff; the energy charge is derived so the school's bill matches the EIA average. Its low and high re-derive the energy charge too, so the school's pre-project bill stays the same (a tariff rebalancing, not a dearer tariff).</t>
        </is>
      </c>
      <c r="I16" s="3">
        <v>5</v>
      </c>
      <c r="J16" s="3">
        <v>20</v>
      </c>
    </row>
    <row r="17">
      <c r="A17" s="0" t="inlineStr">
        <is>
          <t xml:space="preserve">export</t>
        </is>
      </c>
      <c r="B17" s="0" t="inlineStr">
        <is>
          <t xml:space="preserve">Credit for each kWh sent to the grid</t>
        </is>
      </c>
      <c r="C17" s="7">
        <v>0.03</v>
      </c>
      <c r="D17" s="0" t="inlineStr">
        <is>
          <t xml:space="preserve">$/kWh</t>
        </is>
      </c>
      <c r="E17" s="0" t="inlineStr">
        <is>
          <t xml:space="preserve">Illustrative</t>
        </is>
      </c>
      <c r="F17" s="10" t="inlineStr">
        <is>
          <t xml:space="preserve">This case (stated choice)</t>
        </is>
      </c>
      <c r="G17" s="0" t="inlineStr">
        <is>
          <t xml:space="preserve">2026-11-06</t>
        </is>
      </c>
      <c r="H17" s="10" t="inlineStr">
        <is>
          <t xml:space="preserve">Net billing near the utility's avoided energy cost (lesson A4).</t>
        </is>
      </c>
    </row>
    <row r="18">
      <c r="A18" s="0" t="inlineStr">
        <is>
          <t xml:space="preserve">capKW</t>
        </is>
      </c>
      <c r="B18" s="0" t="inlineStr">
        <is>
          <t xml:space="preserve">Installed cost, solar + battery, per kW-DC of solar</t>
        </is>
      </c>
      <c r="C18" s="3">
        <v>3170</v>
      </c>
      <c r="D18" s="0" t="inlineStr">
        <is>
          <t xml:space="preserve">$/kW-DC (2022 $)</t>
        </is>
      </c>
      <c r="E18" s="0" t="inlineStr">
        <is>
          <t xml:space="preserve">Sourced</t>
        </is>
      </c>
      <c r="F18" s="10" t="inlineStr">
        <is>
          <t xml:space="preserve">EIA distributed-generation cost report (2024): https://www.eia.gov/analysis/studies/buildings/dg_storage_chp/pdf/dg_storage_chp.pdf</t>
        </is>
      </c>
      <c r="G18" s="0" t="inlineStr">
        <is>
          <t xml:space="preserve">March 2024; read 6 Nov 2026</t>
        </is>
      </c>
      <c r="H18" s="10" t="inlineStr">
        <is>
          <t xml:space="preserve">Figure 3-5, 2022; read as per kW-DC of the solar array: 7% below the two systems' separate costs, as the report says co-location saves.</t>
        </is>
      </c>
    </row>
    <row r="19">
      <c r="A19" s="0" t="inlineStr">
        <is>
          <t xml:space="preserve">pvAloneKW</t>
        </is>
      </c>
      <c r="B19" s="0" t="inlineStr">
        <is>
          <t xml:space="preserve">Installed cost, solar alone (check only)</t>
        </is>
      </c>
      <c r="C19" s="3">
        <v>1903</v>
      </c>
      <c r="D19" s="0" t="inlineStr">
        <is>
          <t xml:space="preserve">$/kW-DC (2022 $)</t>
        </is>
      </c>
      <c r="E19" s="0" t="inlineStr">
        <is>
          <t xml:space="preserve">Sourced</t>
        </is>
      </c>
      <c r="F19" s="10" t="inlineStr">
        <is>
          <t xml:space="preserve">EIA distributed-generation cost report (2024): https://www.eia.gov/analysis/studies/buildings/dg_storage_chp/pdf/dg_storage_chp.pdf</t>
        </is>
      </c>
      <c r="G19" s="0" t="inlineStr">
        <is>
          <t xml:space="preserve">March 2024; read 6 Nov 2026</t>
        </is>
      </c>
      <c r="H19" s="10" t="inlineStr">
        <is>
          <t xml:space="preserve">Figure 2-4, 250 kW-DC, 2022; used only to check how Figure 3-5 is read.</t>
        </is>
      </c>
    </row>
    <row r="20">
      <c r="A20" s="0" t="inlineStr">
        <is>
          <t xml:space="preserve">batRepKW</t>
        </is>
      </c>
      <c r="B20" s="0" t="inlineStr">
        <is>
          <t xml:space="preserve">Standalone battery cost, for the replacement</t>
        </is>
      </c>
      <c r="C20" s="3">
        <v>2492</v>
      </c>
      <c r="D20" s="0" t="inlineStr">
        <is>
          <t xml:space="preserve">$/kW (2022 $)</t>
        </is>
      </c>
      <c r="E20" s="0" t="inlineStr">
        <is>
          <t xml:space="preserve">Sourced</t>
        </is>
      </c>
      <c r="F20" s="10" t="inlineStr">
        <is>
          <t xml:space="preserve">EIA distributed-generation cost report (2024): https://www.eia.gov/analysis/studies/buildings/dg_storage_chp/pdf/dg_storage_chp.pdf</t>
        </is>
      </c>
      <c r="G20" s="0" t="inlineStr">
        <is>
          <t xml:space="preserve">March 2024; read 6 Nov 2026</t>
        </is>
      </c>
      <c r="H20" s="10" t="inlineStr">
        <is>
          <t xml:space="preserve">Figure 3-4, 2022; held constant in real terms (no assumed cost change).</t>
        </is>
      </c>
    </row>
    <row r="21">
      <c r="A21" s="0" t="inlineStr">
        <is>
          <t xml:space="preserve">pvOM</t>
        </is>
      </c>
      <c r="B21" s="0" t="inlineStr">
        <is>
          <t xml:space="preserve">Solar upkeep</t>
        </is>
      </c>
      <c r="C21" s="3">
        <v>17.63</v>
      </c>
      <c r="D21" s="0" t="inlineStr">
        <is>
          <t xml:space="preserve">$/kW-DC a year (2023 $)</t>
        </is>
      </c>
      <c r="E21" s="0" t="inlineStr">
        <is>
          <t xml:space="preserve">Sourced</t>
        </is>
      </c>
      <c r="F21" s="10" t="inlineStr">
        <is>
          <t xml:space="preserve">NLR ATB 2025, Commercial PV: https://atb.nlr.gov/electricity/2025/commercial_pv</t>
        </is>
      </c>
      <c r="G21" s="0" t="inlineStr">
        <is>
          <t xml:space="preserve">read 6 Nov 2026</t>
        </is>
      </c>
      <c r="H21" s="10" t="inlineStr">
        <is>
          <t xml:space="preserve">ATB value for 2024, in 2023 dollars.</t>
        </is>
      </c>
    </row>
    <row r="22">
      <c r="A22" s="0" t="inlineStr">
        <is>
          <t xml:space="preserve">batOM</t>
        </is>
      </c>
      <c r="B22" s="0" t="inlineStr">
        <is>
          <t xml:space="preserve">Battery upkeep</t>
        </is>
      </c>
      <c r="C22" s="3">
        <v>63</v>
      </c>
      <c r="D22" s="0" t="inlineStr">
        <is>
          <t xml:space="preserve">$/kW a year (2022 $)</t>
        </is>
      </c>
      <c r="E22" s="0" t="inlineStr">
        <is>
          <t xml:space="preserve">Sourced</t>
        </is>
      </c>
      <c r="F22" s="10" t="inlineStr">
        <is>
          <t xml:space="preserve">EIA distributed-generation cost report (2024): https://www.eia.gov/analysis/studies/buildings/dg_storage_chp/pdf/dg_storage_chp.pdf</t>
        </is>
      </c>
      <c r="G22" s="0" t="inlineStr">
        <is>
          <t xml:space="preserve">March 2024; read 6 Nov 2026</t>
        </is>
      </c>
      <c r="H22" s="10" t="inlineStr">
        <is>
          <t xml:space="preserve">Figure 3-6, commercial, 2022.</t>
        </is>
      </c>
    </row>
    <row r="23">
      <c r="A23" s="0" t="inlineStr">
        <is>
          <t xml:space="preserve">i2022</t>
        </is>
      </c>
      <c r="B23" s="0" t="inlineStr">
        <is>
          <t xml:space="preserve">Price index, 2022</t>
        </is>
      </c>
      <c r="C23" s="6">
        <v>118.035</v>
      </c>
      <c r="D23" s="0" t="inlineStr">
        <is>
          <t xml:space="preserve">index (2017 = 100)</t>
        </is>
      </c>
      <c r="E23" s="0" t="inlineStr">
        <is>
          <t xml:space="preserve">Course data</t>
        </is>
      </c>
      <c r="F23" s="10" t="inlineStr">
        <is>
          <t xml:space="preserve">EIA STEO Table 9a: https://www.eia.gov/outlooks/steo/</t>
        </is>
      </c>
      <c r="G23" s="0" t="inlineStr">
        <is>
          <t xml:space="preserve">October 2026 issue</t>
        </is>
      </c>
      <c r="H23" s="10" t="inlineStr">
        <is>
          <t xml:space="preserve">The course's GDP price index (e0.json).</t>
        </is>
      </c>
    </row>
    <row r="24">
      <c r="A24" s="0" t="inlineStr">
        <is>
          <t xml:space="preserve">i2023</t>
        </is>
      </c>
      <c r="B24" s="0" t="inlineStr">
        <is>
          <t xml:space="preserve">Price index, 2023</t>
        </is>
      </c>
      <c r="C24" s="6">
        <v>122.389</v>
      </c>
      <c r="D24" s="0" t="inlineStr">
        <is>
          <t xml:space="preserve">index (2017 = 100)</t>
        </is>
      </c>
      <c r="E24" s="0" t="inlineStr">
        <is>
          <t xml:space="preserve">Course data</t>
        </is>
      </c>
      <c r="F24" s="10" t="inlineStr">
        <is>
          <t xml:space="preserve">EIA STEO Table 9a: https://www.eia.gov/outlooks/steo/</t>
        </is>
      </c>
      <c r="G24" s="0" t="inlineStr">
        <is>
          <t xml:space="preserve">October 2026 issue</t>
        </is>
      </c>
      <c r="H24" s="10" t="inlineStr">
        <is>
          <t xml:space="preserve">The course's GDP price index (e0.json).</t>
        </is>
      </c>
    </row>
    <row r="25">
      <c r="A25" s="0" t="inlineStr">
        <is>
          <t xml:space="preserve">i2025</t>
        </is>
      </c>
      <c r="B25" s="0" t="inlineStr">
        <is>
          <t xml:space="preserve">Price index, 2025</t>
        </is>
      </c>
      <c r="C25" s="6">
        <v>128.989</v>
      </c>
      <c r="D25" s="0" t="inlineStr">
        <is>
          <t xml:space="preserve">index (2017 = 100)</t>
        </is>
      </c>
      <c r="E25" s="0" t="inlineStr">
        <is>
          <t xml:space="preserve">Course data</t>
        </is>
      </c>
      <c r="F25" s="10" t="inlineStr">
        <is>
          <t xml:space="preserve">EIA STEO Table 9a: https://www.eia.gov/outlooks/steo/</t>
        </is>
      </c>
      <c r="G25" s="0" t="inlineStr">
        <is>
          <t xml:space="preserve">October 2026 issue</t>
        </is>
      </c>
      <c r="H25" s="10" t="inlineStr">
        <is>
          <t xml:space="preserve">The course's GDP price index (e0.json).</t>
        </is>
      </c>
    </row>
    <row r="26">
      <c r="A26" s="0" t="inlineStr">
        <is>
          <t xml:space="preserve">rate</t>
        </is>
      </c>
      <c r="B26" s="0" t="inlineStr">
        <is>
          <t xml:space="preserve">Discount rate (real)</t>
        </is>
      </c>
      <c r="C26" s="4">
        <v>0.04</v>
      </c>
      <c r="D26" s="0" t="inlineStr">
        <is>
          <t xml:space="preserve">per year</t>
        </is>
      </c>
      <c r="E26" s="0" t="inlineStr">
        <is>
          <t xml:space="preserve">Course data</t>
        </is>
      </c>
      <c r="F26" s="10" t="inlineStr">
        <is>
          <t xml:space="preserve">This case (stated choice)</t>
        </is>
      </c>
      <c r="G26" s="0" t="inlineStr">
        <is>
          <t xml:space="preserve">2026-11-06</t>
        </is>
      </c>
      <c r="H26" s="10" t="inlineStr">
        <is>
          <t xml:space="preserve">The course's real rate (lessons 7 and 13, e0.json); a school district's own rate may differ.</t>
        </is>
      </c>
      <c r="I26" s="4">
        <v>0.02</v>
      </c>
      <c r="J26" s="4">
        <v>0.07</v>
      </c>
    </row>
    <row r="27">
      <c r="A27" s="0" t="inlineStr">
        <is>
          <t xml:space="preserve">years</t>
        </is>
      </c>
      <c r="B27" s="0" t="inlineStr">
        <is>
          <t xml:space="preserve">Analysis period</t>
        </is>
      </c>
      <c r="C27" s="5">
        <v>25</v>
      </c>
      <c r="D27" s="0" t="inlineStr">
        <is>
          <t xml:space="preserve">years</t>
        </is>
      </c>
      <c r="E27" s="0" t="inlineStr">
        <is>
          <t xml:space="preserve">Choice</t>
        </is>
      </c>
      <c r="F27" s="10" t="inlineStr">
        <is>
          <t xml:space="preserve">This case (stated choice)</t>
        </is>
      </c>
      <c r="G27" s="0" t="inlineStr">
        <is>
          <t xml:space="preserve">2026-11-06</t>
        </is>
      </c>
      <c r="H27" s="10" t="inlineStr">
        <is>
          <t xml:space="preserve">A rooftop array's usual design life.</t>
        </is>
      </c>
    </row>
    <row r="28">
      <c r="A28" s="0" t="inlineStr">
        <is>
          <t xml:space="preserve">batLife</t>
        </is>
      </c>
      <c r="B28" s="0" t="inlineStr">
        <is>
          <t xml:space="preserve">Battery useful life</t>
        </is>
      </c>
      <c r="C28" s="5">
        <v>15</v>
      </c>
      <c r="D28" s="0" t="inlineStr">
        <is>
          <t xml:space="preserve">years</t>
        </is>
      </c>
      <c r="E28" s="0" t="inlineStr">
        <is>
          <t xml:space="preserve">Sourced</t>
        </is>
      </c>
      <c r="F28" s="10" t="inlineStr">
        <is>
          <t xml:space="preserve">EIA distributed-generation cost report (2024): https://www.eia.gov/analysis/studies/buildings/dg_storage_chp/pdf/dg_storage_chp.pdf</t>
        </is>
      </c>
      <c r="G28" s="0" t="inlineStr">
        <is>
          <t xml:space="preserve">March 2024; read 6 Nov 2026</t>
        </is>
      </c>
      <c r="H28" s="10" t="inlineStr">
        <is>
          <t xml:space="preserve">Table 3-3; replaced once, at the end of year 15.</t>
        </is>
      </c>
    </row>
    <row r="29">
      <c r="A29" s="0" t="inlineStr">
        <is>
          <t xml:space="preserve">avoidE</t>
        </is>
      </c>
      <c r="B29" s="0" t="inlineStr">
        <is>
          <t xml:space="preserve">Utility's avoided energy cost</t>
        </is>
      </c>
      <c r="C29" s="7">
        <v>0.03</v>
      </c>
      <c r="D29" s="0" t="inlineStr">
        <is>
          <t xml:space="preserve">$/kWh</t>
        </is>
      </c>
      <c r="E29" s="0" t="inlineStr">
        <is>
          <t xml:space="preserve">Illustrative</t>
        </is>
      </c>
      <c r="F29" s="10" t="inlineStr">
        <is>
          <t xml:space="preserve">This case (stated choice)</t>
        </is>
      </c>
      <c r="G29" s="0" t="inlineStr">
        <is>
          <t xml:space="preserve">2026-11-06</t>
        </is>
      </c>
      <c r="H29" s="10" t="inlineStr">
        <is>
          <t xml:space="preserve">Taken equal to the export credit.</t>
        </is>
      </c>
    </row>
    <row r="30">
      <c r="A30" s="0" t="inlineStr">
        <is>
          <t xml:space="preserve">capCost</t>
        </is>
      </c>
      <c r="B30" s="0" t="inlineStr">
        <is>
          <t xml:space="preserve">Utility's avoided capacity cost</t>
        </is>
      </c>
      <c r="C30" s="3">
        <v>180</v>
      </c>
      <c r="D30" s="0" t="inlineStr">
        <is>
          <t xml:space="preserve">$/kW a year</t>
        </is>
      </c>
      <c r="E30" s="0" t="inlineStr">
        <is>
          <t xml:space="preserve">Course data</t>
        </is>
      </c>
      <c r="F30" s="10" t="inlineStr">
        <is>
          <t xml:space="preserve">This case (stated choice)</t>
        </is>
      </c>
      <c r="G30" s="0" t="inlineStr">
        <is>
          <t xml:space="preserve">2026-11-06</t>
        </is>
      </c>
      <c r="H30" s="10" t="inlineStr">
        <is>
          <t xml:space="preserve">Lesson A4's illustrative $15 per kW-month for the town's tightest hour, times 12.</t>
        </is>
      </c>
    </row>
    <row r="31">
      <c r="A31" s="0" t="inlineStr">
        <is>
          <t xml:space="preserve">coinc</t>
        </is>
      </c>
      <c r="B31" s="0" t="inlineStr">
        <is>
          <t xml:space="preserve">Share of the battery's peak cut that falls in the system's tightest hours</t>
        </is>
      </c>
      <c r="C31" s="4">
        <v>0.5</v>
      </c>
      <c r="D31" s="0" t="inlineStr">
        <is>
          <t xml:space="preserve">fraction</t>
        </is>
      </c>
      <c r="E31" s="0" t="inlineStr">
        <is>
          <t xml:space="preserve">Illustrative</t>
        </is>
      </c>
      <c r="F31" s="10" t="inlineStr">
        <is>
          <t xml:space="preserve">This case (stated choice)</t>
        </is>
      </c>
      <c r="G31" s="0" t="inlineStr">
        <is>
          <t xml:space="preserve">2026-11-06</t>
        </is>
      </c>
      <c r="H31" s="10" t="inlineStr">
        <is>
          <t xml:space="preserve">A school's peak need not be the grid's.</t>
        </is>
      </c>
    </row>
    <row r="32">
      <c r="A32" s="0" t="inlineStr">
        <is>
          <t xml:space="preserve">co2lb</t>
        </is>
      </c>
      <c r="B32" s="0" t="inlineStr">
        <is>
          <t xml:space="preserve">Grid CO2 factor</t>
        </is>
      </c>
      <c r="C32" s="6">
        <v>680</v>
      </c>
      <c r="D32" s="0" t="inlineStr">
        <is>
          <t xml:space="preserve">lb per MWh</t>
        </is>
      </c>
      <c r="E32" s="0" t="inlineStr">
        <is>
          <t xml:space="preserve">Sourced</t>
        </is>
      </c>
      <c r="F32" s="10" t="inlineStr">
        <is>
          <t xml:space="preserve">EIA Kansas Electricity Profile 2024: https://www.eia.gov/electricity/state/kansas/</t>
        </is>
      </c>
      <c r="G32" s="0" t="inlineStr">
        <is>
          <t xml:space="preserve">data year 2024</t>
        </is>
      </c>
      <c r="H32" s="10" t="inlineStr">
        <is>
          <t xml:space="preserve">Kansas 2024 average of its power plants (location-based); a marginal factor would differ (lesson A10).</t>
        </is>
      </c>
    </row>
    <row r="33">
      <c r="A33" s="0" t="inlineStr">
        <is>
          <t xml:space="preserve">defl22</t>
        </is>
      </c>
      <c r="B33" s="0" t="inlineStr">
        <is>
          <t xml:space="preserve">2022 dollars to 2025 dollars</t>
        </is>
      </c>
      <c r="C33" s="6">
        <f>C25/C23</f>
        <v>1.0928029821663068</v>
      </c>
      <c r="D33" s="0" t="inlineStr">
        <is>
          <t xml:space="preserve">factor</t>
        </is>
      </c>
      <c r="E33" s="0" t="inlineStr">
        <is>
          <t xml:space="preserve">Derived</t>
        </is>
      </c>
      <c r="F33" s="10" t="inlineStr">
        <is>
          <t xml:space="preserve">This log</t>
        </is>
      </c>
      <c r="G33" s="0" t="inlineStr">
        <is>
          <t xml:space="preserve">2025 dollars</t>
        </is>
      </c>
      <c r="H33" s="10" t="inlineStr">
        <is>
          <t xml:space="preserve">Index 2025 / index 2022.</t>
        </is>
      </c>
    </row>
    <row r="34">
      <c r="A34" s="0" t="inlineStr">
        <is>
          <t xml:space="preserve">defl23</t>
        </is>
      </c>
      <c r="B34" s="0" t="inlineStr">
        <is>
          <t xml:space="preserve">2023 dollars to 2025 dollars</t>
        </is>
      </c>
      <c r="C34" s="6">
        <f>C25/C24</f>
        <v>1.0539264149555925</v>
      </c>
      <c r="D34" s="0" t="inlineStr">
        <is>
          <t xml:space="preserve">factor</t>
        </is>
      </c>
      <c r="E34" s="0" t="inlineStr">
        <is>
          <t xml:space="preserve">Derived</t>
        </is>
      </c>
      <c r="F34" s="10" t="inlineStr">
        <is>
          <t xml:space="preserve">This log</t>
        </is>
      </c>
      <c r="G34" s="0" t="inlineStr">
        <is>
          <t xml:space="preserve">2025 dollars</t>
        </is>
      </c>
      <c r="H34" s="10" t="inlineStr">
        <is>
          <t xml:space="preserve">Index 2025 / index 2023.</t>
        </is>
      </c>
    </row>
    <row r="35">
      <c r="A35" s="0" t="inlineStr">
        <is>
          <t xml:space="preserve">capital</t>
        </is>
      </c>
      <c r="B35" s="0" t="inlineStr">
        <is>
          <t xml:space="preserve">Up-front cost, solar + battery</t>
        </is>
      </c>
      <c r="C35" s="3">
        <f>C18*C5*C33</f>
        <v>866046.3633667981</v>
      </c>
      <c r="D35" s="0" t="inlineStr">
        <is>
          <t xml:space="preserve">$ (2025)</t>
        </is>
      </c>
      <c r="E35" s="0" t="inlineStr">
        <is>
          <t xml:space="preserve">Derived</t>
        </is>
      </c>
      <c r="F35" s="10" t="inlineStr">
        <is>
          <t xml:space="preserve">This log</t>
        </is>
      </c>
      <c r="G35" s="0" t="inlineStr">
        <is>
          <t xml:space="preserve">2025 dollars</t>
        </is>
      </c>
      <c r="H35" s="10" t="inlineStr">
        <is>
          <t xml:space="preserve">Installed cost per kW-DC x solar size x the 2022 factor.</t>
        </is>
      </c>
      <c r="I35" s="3">
        <f>C35*0.75</f>
        <v>649534.7725250986</v>
      </c>
      <c r="J35" s="3">
        <f>C35*1.25</f>
        <v>1082557.9542084977</v>
      </c>
    </row>
    <row r="36">
      <c r="A36" s="0" t="inlineStr">
        <is>
          <t xml:space="preserve">repl</t>
        </is>
      </c>
      <c r="B36" s="0" t="inlineStr">
        <is>
          <t xml:space="preserve">Battery replacement at the end of year 15</t>
        </is>
      </c>
      <c r="C36" s="3">
        <f>C20*C8*C33</f>
        <v>408489.7547337655</v>
      </c>
      <c r="D36" s="0" t="inlineStr">
        <is>
          <t xml:space="preserve">$ (2025)</t>
        </is>
      </c>
      <c r="E36" s="0" t="inlineStr">
        <is>
          <t xml:space="preserve">Derived</t>
        </is>
      </c>
      <c r="F36" s="10" t="inlineStr">
        <is>
          <t xml:space="preserve">This log</t>
        </is>
      </c>
      <c r="G36" s="0" t="inlineStr">
        <is>
          <t xml:space="preserve">2025 dollars</t>
        </is>
      </c>
      <c r="H36" s="10" t="inlineStr">
        <is>
          <t xml:space="preserve">Standalone cost x battery power x the 2022 factor.</t>
        </is>
      </c>
    </row>
    <row r="37">
      <c r="A37" s="0" t="inlineStr">
        <is>
          <t xml:space="preserve">omPV</t>
        </is>
      </c>
      <c r="B37" s="0" t="inlineStr">
        <is>
          <t xml:space="preserve">Solar upkeep a year</t>
        </is>
      </c>
      <c r="C37" s="3">
        <f>C21*C5*C34</f>
        <v>4645.180673916774</v>
      </c>
      <c r="D37" s="0" t="inlineStr">
        <is>
          <t xml:space="preserve">$ (2025)</t>
        </is>
      </c>
      <c r="E37" s="0" t="inlineStr">
        <is>
          <t xml:space="preserve">Derived</t>
        </is>
      </c>
      <c r="F37" s="10" t="inlineStr">
        <is>
          <t xml:space="preserve">This log</t>
        </is>
      </c>
      <c r="G37" s="0" t="inlineStr">
        <is>
          <t xml:space="preserve">2025 dollars</t>
        </is>
      </c>
      <c r="H37" s="10" t="inlineStr">
        <is>
          <t xml:space="preserve">Per kW-DC x solar size x the 2023 factor.</t>
        </is>
      </c>
      <c r="I37" s="3">
        <f>C37*0.75</f>
        <v>3483.885505437581</v>
      </c>
      <c r="J37" s="3">
        <f>C37*1.25</f>
        <v>5806.475842395967</v>
      </c>
    </row>
    <row r="38">
      <c r="A38" s="0" t="inlineStr">
        <is>
          <t xml:space="preserve">omBat</t>
        </is>
      </c>
      <c r="B38" s="0" t="inlineStr">
        <is>
          <t xml:space="preserve">Battery upkeep a year</t>
        </is>
      </c>
      <c r="C38" s="3">
        <f>C22*C8*C33</f>
        <v>10326.9881814716</v>
      </c>
      <c r="D38" s="0" t="inlineStr">
        <is>
          <t xml:space="preserve">$ (2025)</t>
        </is>
      </c>
      <c r="E38" s="0" t="inlineStr">
        <is>
          <t xml:space="preserve">Derived</t>
        </is>
      </c>
      <c r="F38" s="10" t="inlineStr">
        <is>
          <t xml:space="preserve">This log</t>
        </is>
      </c>
      <c r="G38" s="0" t="inlineStr">
        <is>
          <t xml:space="preserve">2025 dollars</t>
        </is>
      </c>
      <c r="H38" s="10" t="inlineStr">
        <is>
          <t xml:space="preserve">Per kW x battery power x the 2022 factor.</t>
        </is>
      </c>
      <c r="I38" s="3">
        <f>C38*0.75</f>
        <v>7745.241136103699</v>
      </c>
      <c r="J38" s="3">
        <f>C38*1.25</f>
        <v>12908.735226839499</v>
      </c>
    </row>
    <row r="39">
      <c r="A39" s="0" t="inlineStr">
        <is>
          <t xml:space="preserve">co2</t>
        </is>
      </c>
      <c r="B39" s="0" t="inlineStr">
        <is>
          <t xml:space="preserve">Grid CO2 factor in metric tonnes</t>
        </is>
      </c>
      <c r="C39" s="6">
        <f>C32*0.45359237/1000</f>
        <v>0.30844281160000003</v>
      </c>
      <c r="D39" s="0" t="inlineStr">
        <is>
          <t xml:space="preserve">t per MWh</t>
        </is>
      </c>
      <c r="E39" s="0" t="inlineStr">
        <is>
          <t xml:space="preserve">Derived</t>
        </is>
      </c>
      <c r="F39" s="10" t="inlineStr">
        <is>
          <t xml:space="preserve">This log</t>
        </is>
      </c>
      <c r="G39" s="0" t="inlineStr">
        <is>
          <t xml:space="preserve">2025 dollars</t>
        </is>
      </c>
      <c r="H39" s="10" t="inlineStr">
        <is>
          <t xml:space="preserve">lb per MWh x 0.45359237 kg per lb / 1,000.</t>
        </is>
      </c>
    </row>
    <row r="40">
      <c r="A40" s="0" t="inlineStr">
        <is>
          <t xml:space="preserve">coloc</t>
        </is>
      </c>
      <c r="B40" s="0" t="inlineStr">
        <is>
          <t xml:space="preserve">Check: saving from installing together</t>
        </is>
      </c>
      <c r="C40" s="4">
        <f>1-C18*C5/(C19*C5+C20*C8)</f>
        <v>0.06715319875228065</v>
      </c>
      <c r="D40" s="0" t="inlineStr">
        <is>
          <t xml:space="preserve">fraction</t>
        </is>
      </c>
      <c r="E40" s="0" t="inlineStr">
        <is>
          <t xml:space="preserve">Derived</t>
        </is>
      </c>
      <c r="F40" s="10" t="inlineStr">
        <is>
          <t xml:space="preserve">This log</t>
        </is>
      </c>
      <c r="G40" s="0" t="inlineStr">
        <is>
          <t xml:space="preserve">2025 dollars</t>
        </is>
      </c>
      <c r="H40" s="10" t="inlineStr">
        <is>
          <t xml:space="preserve">1 - combined cost / (solar alone + standalone battery), 2022 dollars: positive, as the report says co-location saves.</t>
        </is>
      </c>
    </row>
  </sheetData>
</worksheet>
</file>

<file path=xl/worksheets/sheet3.xml><?xml version="1.0" encoding="utf-8"?>
<worksheet xmlns="http://schemas.openxmlformats.org/spreadsheetml/2006/main">
  <sheetViews>
    <sheetView workbookViewId="0"/>
  </sheetViews>
  <sheetFormatPr defaultRowHeight="15"/>
  <cols>
    <col min="1" max="1" width="62" customWidth="1"/>
    <col min="2" max="2" width="13" customWidth="1"/>
    <col min="3" max="3" width="14" customWidth="1"/>
    <col min="4" max="4" width="13" customWidth="1"/>
    <col min="5" max="5" width="13" customWidth="1"/>
    <col min="6" max="6" width="13" customWidth="1"/>
    <col min="7" max="7" width="13" customWidth="1"/>
    <col min="8" max="8" width="13" customWidth="1"/>
    <col min="9" max="9" width="13" customWidth="1"/>
    <col min="10" max="10" width="13" customWidth="1"/>
    <col min="11" max="11" width="13" customWidth="1"/>
    <col min="12" max="12" width="13" customWidth="1"/>
    <col min="13" max="13" width="13" customWidth="1"/>
    <col min="14" max="14" width="13" customWidth="1"/>
    <col min="15" max="15" width="13" customWidth="1"/>
    <col min="16" max="16" width="13" customWidth="1"/>
    <col min="17" max="17" width="13" customWidth="1"/>
    <col min="18" max="18" width="13" customWidth="1"/>
    <col min="19" max="19" width="13" customWidth="1"/>
  </cols>
  <sheetData>
    <row r="1">
      <c r="A1" s="2" t="inlineStr">
        <is>
          <t xml:space="preserve">Model: the school's solar + battery in closed form, one column per scenario</t>
        </is>
      </c>
    </row>
    <row r="2">
      <c r="A2" s="10" t="inlineStr">
        <is>
          <t xml:space="preserve">Column C is the base case. Each other column changes one input (the one in its heading) to its low or high value from AssumptionsLog; every other cell is the same formula, filled right.</t>
        </is>
      </c>
    </row>
    <row r="4">
      <c r="A4" s="1" t="inlineStr">
        <is>
          <t xml:space="preserve">Quantity</t>
        </is>
      </c>
      <c r="B4" s="1" t="inlineStr">
        <is>
          <t xml:space="preserve">Unit</t>
        </is>
      </c>
      <c r="C4" s="1" t="inlineStr">
        <is>
          <t xml:space="preserve">Base</t>
        </is>
      </c>
      <c r="D4" s="1" t="inlineStr">
        <is>
          <t xml:space="preserve">Up-front cost, low</t>
        </is>
      </c>
      <c r="E4" s="1" t="inlineStr">
        <is>
          <t xml:space="preserve">Up-front cost, high</t>
        </is>
      </c>
      <c r="F4" s="1" t="inlineStr">
        <is>
          <t xml:space="preserve">Demand charge (pre-project bill held), low</t>
        </is>
      </c>
      <c r="G4" s="1" t="inlineStr">
        <is>
          <t xml:space="preserve">Demand charge (pre-project bill held), high</t>
        </is>
      </c>
      <c r="H4" s="1" t="inlineStr">
        <is>
          <t xml:space="preserve">Average electricity price, low</t>
        </is>
      </c>
      <c r="I4" s="1" t="inlineStr">
        <is>
          <t xml:space="preserve">Average electricity price, high</t>
        </is>
      </c>
      <c r="J4" s="1" t="inlineStr">
        <is>
          <t xml:space="preserve">Discount rate, low</t>
        </is>
      </c>
      <c r="K4" s="1" t="inlineStr">
        <is>
          <t xml:space="preserve">Discount rate, high</t>
        </is>
      </c>
      <c r="L4" s="1" t="inlineStr">
        <is>
          <t xml:space="preserve">Solar capacity factor, low</t>
        </is>
      </c>
      <c r="M4" s="1" t="inlineStr">
        <is>
          <t xml:space="preserve">Solar capacity factor, high</t>
        </is>
      </c>
      <c r="N4" s="1" t="inlineStr">
        <is>
          <t xml:space="preserve">Share used at the school, low</t>
        </is>
      </c>
      <c r="O4" s="1" t="inlineStr">
        <is>
          <t xml:space="preserve">Share used at the school, high</t>
        </is>
      </c>
      <c r="P4" s="1" t="inlineStr">
        <is>
          <t xml:space="preserve">Battery's cut in the billed peak, low</t>
        </is>
      </c>
      <c r="Q4" s="1" t="inlineStr">
        <is>
          <t xml:space="preserve">Battery's cut in the billed peak, high</t>
        </is>
      </c>
      <c r="R4" s="1" t="inlineStr">
        <is>
          <t xml:space="preserve">Upkeep, solar and battery, low</t>
        </is>
      </c>
      <c r="S4" s="1" t="inlineStr">
        <is>
          <t xml:space="preserve">Upkeep, solar and battery, high</t>
        </is>
      </c>
    </row>
    <row r="5">
      <c r="A5" s="0" t="inlineStr">
        <is>
          <t xml:space="preserve">Solar array size</t>
        </is>
      </c>
      <c r="B5" s="0" t="inlineStr">
        <is>
          <t xml:space="preserve">kW-DC</t>
        </is>
      </c>
      <c r="C5" s="5">
        <f>AssumptionsLog!C5</f>
        <v>250.0</v>
      </c>
      <c r="D5" s="5">
        <f>$C5</f>
        <v>250.0</v>
      </c>
      <c r="E5" s="5">
        <f>$C5</f>
        <v>250.0</v>
      </c>
      <c r="F5" s="5">
        <f>$C5</f>
        <v>250.0</v>
      </c>
      <c r="G5" s="5">
        <f>$C5</f>
        <v>250.0</v>
      </c>
      <c r="H5" s="5">
        <f>$C5</f>
        <v>250.0</v>
      </c>
      <c r="I5" s="5">
        <f>$C5</f>
        <v>250.0</v>
      </c>
      <c r="J5" s="5">
        <f>$C5</f>
        <v>250.0</v>
      </c>
      <c r="K5" s="5">
        <f>$C5</f>
        <v>250.0</v>
      </c>
      <c r="L5" s="5">
        <f>$C5</f>
        <v>250.0</v>
      </c>
      <c r="M5" s="5">
        <f>$C5</f>
        <v>250.0</v>
      </c>
      <c r="N5" s="5">
        <f>$C5</f>
        <v>250.0</v>
      </c>
      <c r="O5" s="5">
        <f>$C5</f>
        <v>250.0</v>
      </c>
      <c r="P5" s="5">
        <f>$C5</f>
        <v>250.0</v>
      </c>
      <c r="Q5" s="5">
        <f>$C5</f>
        <v>250.0</v>
      </c>
      <c r="R5" s="5">
        <f>$C5</f>
        <v>250.0</v>
      </c>
      <c r="S5" s="5">
        <f>$C5</f>
        <v>250.0</v>
      </c>
    </row>
    <row r="6">
      <c r="A6" s="0" t="inlineStr">
        <is>
          <t xml:space="preserve">Solar capacity factor</t>
        </is>
      </c>
      <c r="B6" s="0" t="inlineStr">
        <is>
          <t xml:space="preserve">fraction</t>
        </is>
      </c>
      <c r="C6" s="4">
        <f>AssumptionsLog!C6</f>
        <v>0.178</v>
      </c>
      <c r="D6" s="4">
        <f>$C6</f>
        <v>0.178</v>
      </c>
      <c r="E6" s="4">
        <f>$C6</f>
        <v>0.178</v>
      </c>
      <c r="F6" s="4">
        <f>$C6</f>
        <v>0.178</v>
      </c>
      <c r="G6" s="4">
        <f>$C6</f>
        <v>0.178</v>
      </c>
      <c r="H6" s="4">
        <f>$C6</f>
        <v>0.178</v>
      </c>
      <c r="I6" s="4">
        <f>$C6</f>
        <v>0.178</v>
      </c>
      <c r="J6" s="4">
        <f>$C6</f>
        <v>0.178</v>
      </c>
      <c r="K6" s="4">
        <f>$C6</f>
        <v>0.178</v>
      </c>
      <c r="L6" s="4">
        <f>AssumptionsLog!I6</f>
        <v>0.1602</v>
      </c>
      <c r="M6" s="4">
        <f>AssumptionsLog!J6</f>
        <v>0.1958</v>
      </c>
      <c r="N6" s="4">
        <f>$C6</f>
        <v>0.178</v>
      </c>
      <c r="O6" s="4">
        <f>$C6</f>
        <v>0.178</v>
      </c>
      <c r="P6" s="4">
        <f>$C6</f>
        <v>0.178</v>
      </c>
      <c r="Q6" s="4">
        <f>$C6</f>
        <v>0.178</v>
      </c>
      <c r="R6" s="4">
        <f>$C6</f>
        <v>0.178</v>
      </c>
      <c r="S6" s="4">
        <f>$C6</f>
        <v>0.178</v>
      </c>
    </row>
    <row r="7">
      <c r="A7" s="0" t="inlineStr">
        <is>
          <t xml:space="preserve">Share of solar output used at the school</t>
        </is>
      </c>
      <c r="B7" s="0" t="inlineStr">
        <is>
          <t xml:space="preserve">fraction</t>
        </is>
      </c>
      <c r="C7" s="4">
        <f>AssumptionsLog!C7</f>
        <v>0.75</v>
      </c>
      <c r="D7" s="4">
        <f>$C7</f>
        <v>0.75</v>
      </c>
      <c r="E7" s="4">
        <f>$C7</f>
        <v>0.75</v>
      </c>
      <c r="F7" s="4">
        <f>$C7</f>
        <v>0.75</v>
      </c>
      <c r="G7" s="4">
        <f>$C7</f>
        <v>0.75</v>
      </c>
      <c r="H7" s="4">
        <f>$C7</f>
        <v>0.75</v>
      </c>
      <c r="I7" s="4">
        <f>$C7</f>
        <v>0.75</v>
      </c>
      <c r="J7" s="4">
        <f>$C7</f>
        <v>0.75</v>
      </c>
      <c r="K7" s="4">
        <f>$C7</f>
        <v>0.75</v>
      </c>
      <c r="L7" s="4">
        <f>$C7</f>
        <v>0.75</v>
      </c>
      <c r="M7" s="4">
        <f>$C7</f>
        <v>0.75</v>
      </c>
      <c r="N7" s="4">
        <f>AssumptionsLog!I7</f>
        <v>0.6</v>
      </c>
      <c r="O7" s="4">
        <f>AssumptionsLog!J7</f>
        <v>0.9</v>
      </c>
      <c r="P7" s="4">
        <f>$C7</f>
        <v>0.75</v>
      </c>
      <c r="Q7" s="4">
        <f>$C7</f>
        <v>0.75</v>
      </c>
      <c r="R7" s="4">
        <f>$C7</f>
        <v>0.75</v>
      </c>
      <c r="S7" s="4">
        <f>$C7</f>
        <v>0.75</v>
      </c>
    </row>
    <row r="8">
      <c r="A8" s="0" t="inlineStr">
        <is>
          <t xml:space="preserve">Battery power</t>
        </is>
      </c>
      <c r="B8" s="0" t="inlineStr">
        <is>
          <t xml:space="preserve">kW</t>
        </is>
      </c>
      <c r="C8" s="5">
        <f>AssumptionsLog!C8</f>
        <v>150.0</v>
      </c>
      <c r="D8" s="5">
        <f>$C8</f>
        <v>150.0</v>
      </c>
      <c r="E8" s="5">
        <f>$C8</f>
        <v>150.0</v>
      </c>
      <c r="F8" s="5">
        <f>$C8</f>
        <v>150.0</v>
      </c>
      <c r="G8" s="5">
        <f>$C8</f>
        <v>150.0</v>
      </c>
      <c r="H8" s="5">
        <f>$C8</f>
        <v>150.0</v>
      </c>
      <c r="I8" s="5">
        <f>$C8</f>
        <v>150.0</v>
      </c>
      <c r="J8" s="5">
        <f>$C8</f>
        <v>150.0</v>
      </c>
      <c r="K8" s="5">
        <f>$C8</f>
        <v>150.0</v>
      </c>
      <c r="L8" s="5">
        <f>$C8</f>
        <v>150.0</v>
      </c>
      <c r="M8" s="5">
        <f>$C8</f>
        <v>150.0</v>
      </c>
      <c r="N8" s="5">
        <f>$C8</f>
        <v>150.0</v>
      </c>
      <c r="O8" s="5">
        <f>$C8</f>
        <v>150.0</v>
      </c>
      <c r="P8" s="5">
        <f>$C8</f>
        <v>150.0</v>
      </c>
      <c r="Q8" s="5">
        <f>$C8</f>
        <v>150.0</v>
      </c>
      <c r="R8" s="5">
        <f>$C8</f>
        <v>150.0</v>
      </c>
      <c r="S8" s="5">
        <f>$C8</f>
        <v>150.0</v>
      </c>
    </row>
    <row r="9">
      <c r="A9" s="0" t="inlineStr">
        <is>
          <t xml:space="preserve">Battery energy</t>
        </is>
      </c>
      <c r="B9" s="0" t="inlineStr">
        <is>
          <t xml:space="preserve">kWh</t>
        </is>
      </c>
      <c r="C9" s="5">
        <f>AssumptionsLog!C9</f>
        <v>300.0</v>
      </c>
      <c r="D9" s="5">
        <f>$C9</f>
        <v>300.0</v>
      </c>
      <c r="E9" s="5">
        <f>$C9</f>
        <v>300.0</v>
      </c>
      <c r="F9" s="5">
        <f>$C9</f>
        <v>300.0</v>
      </c>
      <c r="G9" s="5">
        <f>$C9</f>
        <v>300.0</v>
      </c>
      <c r="H9" s="5">
        <f>$C9</f>
        <v>300.0</v>
      </c>
      <c r="I9" s="5">
        <f>$C9</f>
        <v>300.0</v>
      </c>
      <c r="J9" s="5">
        <f>$C9</f>
        <v>300.0</v>
      </c>
      <c r="K9" s="5">
        <f>$C9</f>
        <v>300.0</v>
      </c>
      <c r="L9" s="5">
        <f>$C9</f>
        <v>300.0</v>
      </c>
      <c r="M9" s="5">
        <f>$C9</f>
        <v>300.0</v>
      </c>
      <c r="N9" s="5">
        <f>$C9</f>
        <v>300.0</v>
      </c>
      <c r="O9" s="5">
        <f>$C9</f>
        <v>300.0</v>
      </c>
      <c r="P9" s="5">
        <f>$C9</f>
        <v>300.0</v>
      </c>
      <c r="Q9" s="5">
        <f>$C9</f>
        <v>300.0</v>
      </c>
      <c r="R9" s="5">
        <f>$C9</f>
        <v>300.0</v>
      </c>
      <c r="S9" s="5">
        <f>$C9</f>
        <v>300.0</v>
      </c>
    </row>
    <row r="10">
      <c r="A10" s="0" t="inlineStr">
        <is>
          <t xml:space="preserve">Average cut in the monthly billed peak, share of battery power</t>
        </is>
      </c>
      <c r="B10" s="0" t="inlineStr">
        <is>
          <t xml:space="preserve">fraction</t>
        </is>
      </c>
      <c r="C10" s="4">
        <f>AssumptionsLog!C10</f>
        <v>0.6</v>
      </c>
      <c r="D10" s="4">
        <f>$C10</f>
        <v>0.6</v>
      </c>
      <c r="E10" s="4">
        <f>$C10</f>
        <v>0.6</v>
      </c>
      <c r="F10" s="4">
        <f>$C10</f>
        <v>0.6</v>
      </c>
      <c r="G10" s="4">
        <f>$C10</f>
        <v>0.6</v>
      </c>
      <c r="H10" s="4">
        <f>$C10</f>
        <v>0.6</v>
      </c>
      <c r="I10" s="4">
        <f>$C10</f>
        <v>0.6</v>
      </c>
      <c r="J10" s="4">
        <f>$C10</f>
        <v>0.6</v>
      </c>
      <c r="K10" s="4">
        <f>$C10</f>
        <v>0.6</v>
      </c>
      <c r="L10" s="4">
        <f>$C10</f>
        <v>0.6</v>
      </c>
      <c r="M10" s="4">
        <f>$C10</f>
        <v>0.6</v>
      </c>
      <c r="N10" s="4">
        <f>$C10</f>
        <v>0.6</v>
      </c>
      <c r="O10" s="4">
        <f>$C10</f>
        <v>0.6</v>
      </c>
      <c r="P10" s="4">
        <f>AssumptionsLog!I10</f>
        <v>0.3</v>
      </c>
      <c r="Q10" s="4">
        <f>AssumptionsLog!J10</f>
        <v>0.9</v>
      </c>
      <c r="R10" s="4">
        <f>$C10</f>
        <v>0.6</v>
      </c>
      <c r="S10" s="4">
        <f>$C10</f>
        <v>0.6</v>
      </c>
    </row>
    <row r="11">
      <c r="A11" s="0" t="inlineStr">
        <is>
          <t xml:space="preserve">Battery full cycles a year (each takes in 300 kWh)</t>
        </is>
      </c>
      <c r="B11" s="0" t="inlineStr">
        <is>
          <t xml:space="preserve">per year</t>
        </is>
      </c>
      <c r="C11" s="5">
        <f>AssumptionsLog!C11</f>
        <v>200.0</v>
      </c>
      <c r="D11" s="5">
        <f>$C11</f>
        <v>200.0</v>
      </c>
      <c r="E11" s="5">
        <f>$C11</f>
        <v>200.0</v>
      </c>
      <c r="F11" s="5">
        <f>$C11</f>
        <v>200.0</v>
      </c>
      <c r="G11" s="5">
        <f>$C11</f>
        <v>200.0</v>
      </c>
      <c r="H11" s="5">
        <f>$C11</f>
        <v>200.0</v>
      </c>
      <c r="I11" s="5">
        <f>$C11</f>
        <v>200.0</v>
      </c>
      <c r="J11" s="5">
        <f>$C11</f>
        <v>200.0</v>
      </c>
      <c r="K11" s="5">
        <f>$C11</f>
        <v>200.0</v>
      </c>
      <c r="L11" s="5">
        <f>$C11</f>
        <v>200.0</v>
      </c>
      <c r="M11" s="5">
        <f>$C11</f>
        <v>200.0</v>
      </c>
      <c r="N11" s="5">
        <f>$C11</f>
        <v>200.0</v>
      </c>
      <c r="O11" s="5">
        <f>$C11</f>
        <v>200.0</v>
      </c>
      <c r="P11" s="5">
        <f>$C11</f>
        <v>200.0</v>
      </c>
      <c r="Q11" s="5">
        <f>$C11</f>
        <v>200.0</v>
      </c>
      <c r="R11" s="5">
        <f>$C11</f>
        <v>200.0</v>
      </c>
      <c r="S11" s="5">
        <f>$C11</f>
        <v>200.0</v>
      </c>
    </row>
    <row r="12">
      <c r="A12" s="0" t="inlineStr">
        <is>
          <t xml:space="preserve">Battery round trip efficiency</t>
        </is>
      </c>
      <c r="B12" s="0" t="inlineStr">
        <is>
          <t xml:space="preserve">fraction</t>
        </is>
      </c>
      <c r="C12" s="4">
        <f>AssumptionsLog!C12</f>
        <v>0.9</v>
      </c>
      <c r="D12" s="4">
        <f>$C12</f>
        <v>0.9</v>
      </c>
      <c r="E12" s="4">
        <f>$C12</f>
        <v>0.9</v>
      </c>
      <c r="F12" s="4">
        <f>$C12</f>
        <v>0.9</v>
      </c>
      <c r="G12" s="4">
        <f>$C12</f>
        <v>0.9</v>
      </c>
      <c r="H12" s="4">
        <f>$C12</f>
        <v>0.9</v>
      </c>
      <c r="I12" s="4">
        <f>$C12</f>
        <v>0.9</v>
      </c>
      <c r="J12" s="4">
        <f>$C12</f>
        <v>0.9</v>
      </c>
      <c r="K12" s="4">
        <f>$C12</f>
        <v>0.9</v>
      </c>
      <c r="L12" s="4">
        <f>$C12</f>
        <v>0.9</v>
      </c>
      <c r="M12" s="4">
        <f>$C12</f>
        <v>0.9</v>
      </c>
      <c r="N12" s="4">
        <f>$C12</f>
        <v>0.9</v>
      </c>
      <c r="O12" s="4">
        <f>$C12</f>
        <v>0.9</v>
      </c>
      <c r="P12" s="4">
        <f>$C12</f>
        <v>0.9</v>
      </c>
      <c r="Q12" s="4">
        <f>$C12</f>
        <v>0.9</v>
      </c>
      <c r="R12" s="4">
        <f>$C12</f>
        <v>0.9</v>
      </c>
      <c r="S12" s="4">
        <f>$C12</f>
        <v>0.9</v>
      </c>
    </row>
    <row r="13">
      <c r="A13" s="0" t="inlineStr">
        <is>
          <t xml:space="preserve">School electricity use</t>
        </is>
      </c>
      <c r="B13" s="0" t="inlineStr">
        <is>
          <t xml:space="preserve">kWh a year</t>
        </is>
      </c>
      <c r="C13" s="5">
        <f>AssumptionsLog!C13</f>
        <v>1000000.0</v>
      </c>
      <c r="D13" s="5">
        <f>$C13</f>
        <v>1000000.0</v>
      </c>
      <c r="E13" s="5">
        <f>$C13</f>
        <v>1000000.0</v>
      </c>
      <c r="F13" s="5">
        <f>$C13</f>
        <v>1000000.0</v>
      </c>
      <c r="G13" s="5">
        <f>$C13</f>
        <v>1000000.0</v>
      </c>
      <c r="H13" s="5">
        <f>$C13</f>
        <v>1000000.0</v>
      </c>
      <c r="I13" s="5">
        <f>$C13</f>
        <v>1000000.0</v>
      </c>
      <c r="J13" s="5">
        <f>$C13</f>
        <v>1000000.0</v>
      </c>
      <c r="K13" s="5">
        <f>$C13</f>
        <v>1000000.0</v>
      </c>
      <c r="L13" s="5">
        <f>$C13</f>
        <v>1000000.0</v>
      </c>
      <c r="M13" s="5">
        <f>$C13</f>
        <v>1000000.0</v>
      </c>
      <c r="N13" s="5">
        <f>$C13</f>
        <v>1000000.0</v>
      </c>
      <c r="O13" s="5">
        <f>$C13</f>
        <v>1000000.0</v>
      </c>
      <c r="P13" s="5">
        <f>$C13</f>
        <v>1000000.0</v>
      </c>
      <c r="Q13" s="5">
        <f>$C13</f>
        <v>1000000.0</v>
      </c>
      <c r="R13" s="5">
        <f>$C13</f>
        <v>1000000.0</v>
      </c>
      <c r="S13" s="5">
        <f>$C13</f>
        <v>1000000.0</v>
      </c>
    </row>
    <row r="14">
      <c r="A14" s="0" t="inlineStr">
        <is>
          <t xml:space="preserve">School monthly billed peak</t>
        </is>
      </c>
      <c r="B14" s="0" t="inlineStr">
        <is>
          <t xml:space="preserve">kW</t>
        </is>
      </c>
      <c r="C14" s="5">
        <f>AssumptionsLog!C14</f>
        <v>400.0</v>
      </c>
      <c r="D14" s="5">
        <f>$C14</f>
        <v>400.0</v>
      </c>
      <c r="E14" s="5">
        <f>$C14</f>
        <v>400.0</v>
      </c>
      <c r="F14" s="5">
        <f>$C14</f>
        <v>400.0</v>
      </c>
      <c r="G14" s="5">
        <f>$C14</f>
        <v>400.0</v>
      </c>
      <c r="H14" s="5">
        <f>$C14</f>
        <v>400.0</v>
      </c>
      <c r="I14" s="5">
        <f>$C14</f>
        <v>400.0</v>
      </c>
      <c r="J14" s="5">
        <f>$C14</f>
        <v>400.0</v>
      </c>
      <c r="K14" s="5">
        <f>$C14</f>
        <v>400.0</v>
      </c>
      <c r="L14" s="5">
        <f>$C14</f>
        <v>400.0</v>
      </c>
      <c r="M14" s="5">
        <f>$C14</f>
        <v>400.0</v>
      </c>
      <c r="N14" s="5">
        <f>$C14</f>
        <v>400.0</v>
      </c>
      <c r="O14" s="5">
        <f>$C14</f>
        <v>400.0</v>
      </c>
      <c r="P14" s="5">
        <f>$C14</f>
        <v>400.0</v>
      </c>
      <c r="Q14" s="5">
        <f>$C14</f>
        <v>400.0</v>
      </c>
      <c r="R14" s="5">
        <f>$C14</f>
        <v>400.0</v>
      </c>
      <c r="S14" s="5">
        <f>$C14</f>
        <v>400.0</v>
      </c>
    </row>
    <row r="15">
      <c r="A15" s="0" t="inlineStr">
        <is>
          <t xml:space="preserve">Average commercial electricity price, Kansas</t>
        </is>
      </c>
      <c r="B15" s="0" t="inlineStr">
        <is>
          <t xml:space="preserve">$/kWh</t>
        </is>
      </c>
      <c r="C15" s="7">
        <f>AssumptionsLog!C15</f>
        <v>0.1117</v>
      </c>
      <c r="D15" s="7">
        <f>$C15</f>
        <v>0.1117</v>
      </c>
      <c r="E15" s="7">
        <f>$C15</f>
        <v>0.1117</v>
      </c>
      <c r="F15" s="7">
        <f>$C15</f>
        <v>0.1117</v>
      </c>
      <c r="G15" s="7">
        <f>$C15</f>
        <v>0.1117</v>
      </c>
      <c r="H15" s="7">
        <f>AssumptionsLog!I15</f>
        <v>0.08936</v>
      </c>
      <c r="I15" s="7">
        <f>AssumptionsLog!J15</f>
        <v>0.13404</v>
      </c>
      <c r="J15" s="7">
        <f>$C15</f>
        <v>0.1117</v>
      </c>
      <c r="K15" s="7">
        <f>$C15</f>
        <v>0.1117</v>
      </c>
      <c r="L15" s="7">
        <f>$C15</f>
        <v>0.1117</v>
      </c>
      <c r="M15" s="7">
        <f>$C15</f>
        <v>0.1117</v>
      </c>
      <c r="N15" s="7">
        <f>$C15</f>
        <v>0.1117</v>
      </c>
      <c r="O15" s="7">
        <f>$C15</f>
        <v>0.1117</v>
      </c>
      <c r="P15" s="7">
        <f>$C15</f>
        <v>0.1117</v>
      </c>
      <c r="Q15" s="7">
        <f>$C15</f>
        <v>0.1117</v>
      </c>
      <c r="R15" s="7">
        <f>$C15</f>
        <v>0.1117</v>
      </c>
      <c r="S15" s="7">
        <f>$C15</f>
        <v>0.1117</v>
      </c>
    </row>
    <row r="16">
      <c r="A16" s="0" t="inlineStr">
        <is>
          <t xml:space="preserve">Demand charge</t>
        </is>
      </c>
      <c r="B16" s="0" t="inlineStr">
        <is>
          <t xml:space="preserve">$/kW-month</t>
        </is>
      </c>
      <c r="C16" s="3">
        <f>AssumptionsLog!C16</f>
        <v>10.0</v>
      </c>
      <c r="D16" s="3">
        <f>$C16</f>
        <v>10.0</v>
      </c>
      <c r="E16" s="3">
        <f>$C16</f>
        <v>10.0</v>
      </c>
      <c r="F16" s="3">
        <f>AssumptionsLog!I16</f>
        <v>5.0</v>
      </c>
      <c r="G16" s="3">
        <f>AssumptionsLog!J16</f>
        <v>20.0</v>
      </c>
      <c r="H16" s="3">
        <f>$C16</f>
        <v>10.0</v>
      </c>
      <c r="I16" s="3">
        <f>$C16</f>
        <v>10.0</v>
      </c>
      <c r="J16" s="3">
        <f>$C16</f>
        <v>10.0</v>
      </c>
      <c r="K16" s="3">
        <f>$C16</f>
        <v>10.0</v>
      </c>
      <c r="L16" s="3">
        <f>$C16</f>
        <v>10.0</v>
      </c>
      <c r="M16" s="3">
        <f>$C16</f>
        <v>10.0</v>
      </c>
      <c r="N16" s="3">
        <f>$C16</f>
        <v>10.0</v>
      </c>
      <c r="O16" s="3">
        <f>$C16</f>
        <v>10.0</v>
      </c>
      <c r="P16" s="3">
        <f>$C16</f>
        <v>10.0</v>
      </c>
      <c r="Q16" s="3">
        <f>$C16</f>
        <v>10.0</v>
      </c>
      <c r="R16" s="3">
        <f>$C16</f>
        <v>10.0</v>
      </c>
      <c r="S16" s="3">
        <f>$C16</f>
        <v>10.0</v>
      </c>
    </row>
    <row r="17">
      <c r="A17" s="0" t="inlineStr">
        <is>
          <t xml:space="preserve">Credit for each kWh sent to the grid</t>
        </is>
      </c>
      <c r="B17" s="0" t="inlineStr">
        <is>
          <t xml:space="preserve">$/kWh</t>
        </is>
      </c>
      <c r="C17" s="7">
        <f>AssumptionsLog!C17</f>
        <v>0.03</v>
      </c>
      <c r="D17" s="7">
        <f>$C17</f>
        <v>0.03</v>
      </c>
      <c r="E17" s="7">
        <f>$C17</f>
        <v>0.03</v>
      </c>
      <c r="F17" s="7">
        <f>$C17</f>
        <v>0.03</v>
      </c>
      <c r="G17" s="7">
        <f>$C17</f>
        <v>0.03</v>
      </c>
      <c r="H17" s="7">
        <f>$C17</f>
        <v>0.03</v>
      </c>
      <c r="I17" s="7">
        <f>$C17</f>
        <v>0.03</v>
      </c>
      <c r="J17" s="7">
        <f>$C17</f>
        <v>0.03</v>
      </c>
      <c r="K17" s="7">
        <f>$C17</f>
        <v>0.03</v>
      </c>
      <c r="L17" s="7">
        <f>$C17</f>
        <v>0.03</v>
      </c>
      <c r="M17" s="7">
        <f>$C17</f>
        <v>0.03</v>
      </c>
      <c r="N17" s="7">
        <f>$C17</f>
        <v>0.03</v>
      </c>
      <c r="O17" s="7">
        <f>$C17</f>
        <v>0.03</v>
      </c>
      <c r="P17" s="7">
        <f>$C17</f>
        <v>0.03</v>
      </c>
      <c r="Q17" s="7">
        <f>$C17</f>
        <v>0.03</v>
      </c>
      <c r="R17" s="7">
        <f>$C17</f>
        <v>0.03</v>
      </c>
      <c r="S17" s="7">
        <f>$C17</f>
        <v>0.03</v>
      </c>
    </row>
    <row r="18">
      <c r="A18" s="0" t="inlineStr">
        <is>
          <t xml:space="preserve">Up-front cost, solar + battery</t>
        </is>
      </c>
      <c r="B18" s="0" t="inlineStr">
        <is>
          <t xml:space="preserve">$ (2025)</t>
        </is>
      </c>
      <c r="C18" s="3">
        <f>AssumptionsLog!C35</f>
        <v>866046.3633667981</v>
      </c>
      <c r="D18" s="3">
        <f>AssumptionsLog!I35</f>
        <v>649534.7725250986</v>
      </c>
      <c r="E18" s="3">
        <f>AssumptionsLog!J35</f>
        <v>1082557.9542084977</v>
      </c>
      <c r="F18" s="3">
        <f>$C18</f>
        <v>866046.3633667981</v>
      </c>
      <c r="G18" s="3">
        <f>$C18</f>
        <v>866046.3633667981</v>
      </c>
      <c r="H18" s="3">
        <f>$C18</f>
        <v>866046.3633667981</v>
      </c>
      <c r="I18" s="3">
        <f>$C18</f>
        <v>866046.3633667981</v>
      </c>
      <c r="J18" s="3">
        <f>$C18</f>
        <v>866046.3633667981</v>
      </c>
      <c r="K18" s="3">
        <f>$C18</f>
        <v>866046.3633667981</v>
      </c>
      <c r="L18" s="3">
        <f>$C18</f>
        <v>866046.3633667981</v>
      </c>
      <c r="M18" s="3">
        <f>$C18</f>
        <v>866046.3633667981</v>
      </c>
      <c r="N18" s="3">
        <f>$C18</f>
        <v>866046.3633667981</v>
      </c>
      <c r="O18" s="3">
        <f>$C18</f>
        <v>866046.3633667981</v>
      </c>
      <c r="P18" s="3">
        <f>$C18</f>
        <v>866046.3633667981</v>
      </c>
      <c r="Q18" s="3">
        <f>$C18</f>
        <v>866046.3633667981</v>
      </c>
      <c r="R18" s="3">
        <f>$C18</f>
        <v>866046.3633667981</v>
      </c>
      <c r="S18" s="3">
        <f>$C18</f>
        <v>866046.3633667981</v>
      </c>
    </row>
    <row r="19">
      <c r="A19" s="0" t="inlineStr">
        <is>
          <t xml:space="preserve">Battery replacement at the end of year 15</t>
        </is>
      </c>
      <c r="B19" s="0" t="inlineStr">
        <is>
          <t xml:space="preserve">$ (2025)</t>
        </is>
      </c>
      <c r="C19" s="3">
        <f>AssumptionsLog!C36</f>
        <v>408489.7547337655</v>
      </c>
      <c r="D19" s="3">
        <f>$C19</f>
        <v>408489.7547337655</v>
      </c>
      <c r="E19" s="3">
        <f>$C19</f>
        <v>408489.7547337655</v>
      </c>
      <c r="F19" s="3">
        <f>$C19</f>
        <v>408489.7547337655</v>
      </c>
      <c r="G19" s="3">
        <f>$C19</f>
        <v>408489.7547337655</v>
      </c>
      <c r="H19" s="3">
        <f>$C19</f>
        <v>408489.7547337655</v>
      </c>
      <c r="I19" s="3">
        <f>$C19</f>
        <v>408489.7547337655</v>
      </c>
      <c r="J19" s="3">
        <f>$C19</f>
        <v>408489.7547337655</v>
      </c>
      <c r="K19" s="3">
        <f>$C19</f>
        <v>408489.7547337655</v>
      </c>
      <c r="L19" s="3">
        <f>$C19</f>
        <v>408489.7547337655</v>
      </c>
      <c r="M19" s="3">
        <f>$C19</f>
        <v>408489.7547337655</v>
      </c>
      <c r="N19" s="3">
        <f>$C19</f>
        <v>408489.7547337655</v>
      </c>
      <c r="O19" s="3">
        <f>$C19</f>
        <v>408489.7547337655</v>
      </c>
      <c r="P19" s="3">
        <f>$C19</f>
        <v>408489.7547337655</v>
      </c>
      <c r="Q19" s="3">
        <f>$C19</f>
        <v>408489.7547337655</v>
      </c>
      <c r="R19" s="3">
        <f>$C19</f>
        <v>408489.7547337655</v>
      </c>
      <c r="S19" s="3">
        <f>$C19</f>
        <v>408489.7547337655</v>
      </c>
    </row>
    <row r="20">
      <c r="A20" s="0" t="inlineStr">
        <is>
          <t xml:space="preserve">Solar upkeep a year</t>
        </is>
      </c>
      <c r="B20" s="0" t="inlineStr">
        <is>
          <t xml:space="preserve">$ (2025)</t>
        </is>
      </c>
      <c r="C20" s="3">
        <f>AssumptionsLog!C37</f>
        <v>4645.180673916774</v>
      </c>
      <c r="D20" s="3">
        <f>$C20</f>
        <v>4645.180673916774</v>
      </c>
      <c r="E20" s="3">
        <f>$C20</f>
        <v>4645.180673916774</v>
      </c>
      <c r="F20" s="3">
        <f>$C20</f>
        <v>4645.180673916774</v>
      </c>
      <c r="G20" s="3">
        <f>$C20</f>
        <v>4645.180673916774</v>
      </c>
      <c r="H20" s="3">
        <f>$C20</f>
        <v>4645.180673916774</v>
      </c>
      <c r="I20" s="3">
        <f>$C20</f>
        <v>4645.180673916774</v>
      </c>
      <c r="J20" s="3">
        <f>$C20</f>
        <v>4645.180673916774</v>
      </c>
      <c r="K20" s="3">
        <f>$C20</f>
        <v>4645.180673916774</v>
      </c>
      <c r="L20" s="3">
        <f>$C20</f>
        <v>4645.180673916774</v>
      </c>
      <c r="M20" s="3">
        <f>$C20</f>
        <v>4645.180673916774</v>
      </c>
      <c r="N20" s="3">
        <f>$C20</f>
        <v>4645.180673916774</v>
      </c>
      <c r="O20" s="3">
        <f>$C20</f>
        <v>4645.180673916774</v>
      </c>
      <c r="P20" s="3">
        <f>$C20</f>
        <v>4645.180673916774</v>
      </c>
      <c r="Q20" s="3">
        <f>$C20</f>
        <v>4645.180673916774</v>
      </c>
      <c r="R20" s="3">
        <f>AssumptionsLog!I37</f>
        <v>3483.885505437581</v>
      </c>
      <c r="S20" s="3">
        <f>AssumptionsLog!J37</f>
        <v>5806.475842395967</v>
      </c>
    </row>
    <row r="21">
      <c r="A21" s="0" t="inlineStr">
        <is>
          <t xml:space="preserve">Battery upkeep a year</t>
        </is>
      </c>
      <c r="B21" s="0" t="inlineStr">
        <is>
          <t xml:space="preserve">$ (2025)</t>
        </is>
      </c>
      <c r="C21" s="3">
        <f>AssumptionsLog!C38</f>
        <v>10326.9881814716</v>
      </c>
      <c r="D21" s="3">
        <f>$C21</f>
        <v>10326.9881814716</v>
      </c>
      <c r="E21" s="3">
        <f>$C21</f>
        <v>10326.9881814716</v>
      </c>
      <c r="F21" s="3">
        <f>$C21</f>
        <v>10326.9881814716</v>
      </c>
      <c r="G21" s="3">
        <f>$C21</f>
        <v>10326.9881814716</v>
      </c>
      <c r="H21" s="3">
        <f>$C21</f>
        <v>10326.9881814716</v>
      </c>
      <c r="I21" s="3">
        <f>$C21</f>
        <v>10326.9881814716</v>
      </c>
      <c r="J21" s="3">
        <f>$C21</f>
        <v>10326.9881814716</v>
      </c>
      <c r="K21" s="3">
        <f>$C21</f>
        <v>10326.9881814716</v>
      </c>
      <c r="L21" s="3">
        <f>$C21</f>
        <v>10326.9881814716</v>
      </c>
      <c r="M21" s="3">
        <f>$C21</f>
        <v>10326.9881814716</v>
      </c>
      <c r="N21" s="3">
        <f>$C21</f>
        <v>10326.9881814716</v>
      </c>
      <c r="O21" s="3">
        <f>$C21</f>
        <v>10326.9881814716</v>
      </c>
      <c r="P21" s="3">
        <f>$C21</f>
        <v>10326.9881814716</v>
      </c>
      <c r="Q21" s="3">
        <f>$C21</f>
        <v>10326.9881814716</v>
      </c>
      <c r="R21" s="3">
        <f>AssumptionsLog!I38</f>
        <v>7745.241136103699</v>
      </c>
      <c r="S21" s="3">
        <f>AssumptionsLog!J38</f>
        <v>12908.735226839499</v>
      </c>
    </row>
    <row r="22">
      <c r="A22" s="0" t="inlineStr">
        <is>
          <t xml:space="preserve">Discount rate (real)</t>
        </is>
      </c>
      <c r="B22" s="0" t="inlineStr">
        <is>
          <t xml:space="preserve">per year</t>
        </is>
      </c>
      <c r="C22" s="4">
        <f>AssumptionsLog!C26</f>
        <v>0.04</v>
      </c>
      <c r="D22" s="4">
        <f>$C22</f>
        <v>0.04</v>
      </c>
      <c r="E22" s="4">
        <f>$C22</f>
        <v>0.04</v>
      </c>
      <c r="F22" s="4">
        <f>$C22</f>
        <v>0.04</v>
      </c>
      <c r="G22" s="4">
        <f>$C22</f>
        <v>0.04</v>
      </c>
      <c r="H22" s="4">
        <f>$C22</f>
        <v>0.04</v>
      </c>
      <c r="I22" s="4">
        <f>$C22</f>
        <v>0.04</v>
      </c>
      <c r="J22" s="4">
        <f>AssumptionsLog!I26</f>
        <v>0.02</v>
      </c>
      <c r="K22" s="4">
        <f>AssumptionsLog!J26</f>
        <v>0.07</v>
      </c>
      <c r="L22" s="4">
        <f>$C22</f>
        <v>0.04</v>
      </c>
      <c r="M22" s="4">
        <f>$C22</f>
        <v>0.04</v>
      </c>
      <c r="N22" s="4">
        <f>$C22</f>
        <v>0.04</v>
      </c>
      <c r="O22" s="4">
        <f>$C22</f>
        <v>0.04</v>
      </c>
      <c r="P22" s="4">
        <f>$C22</f>
        <v>0.04</v>
      </c>
      <c r="Q22" s="4">
        <f>$C22</f>
        <v>0.04</v>
      </c>
      <c r="R22" s="4">
        <f>$C22</f>
        <v>0.04</v>
      </c>
      <c r="S22" s="4">
        <f>$C22</f>
        <v>0.04</v>
      </c>
    </row>
    <row r="23">
      <c r="A23" s="0" t="inlineStr">
        <is>
          <t xml:space="preserve">Analysis period</t>
        </is>
      </c>
      <c r="B23" s="0" t="inlineStr">
        <is>
          <t xml:space="preserve">years</t>
        </is>
      </c>
      <c r="C23" s="5">
        <f>AssumptionsLog!C27</f>
        <v>25.0</v>
      </c>
      <c r="D23" s="5">
        <f>$C23</f>
        <v>25.0</v>
      </c>
      <c r="E23" s="5">
        <f>$C23</f>
        <v>25.0</v>
      </c>
      <c r="F23" s="5">
        <f>$C23</f>
        <v>25.0</v>
      </c>
      <c r="G23" s="5">
        <f>$C23</f>
        <v>25.0</v>
      </c>
      <c r="H23" s="5">
        <f>$C23</f>
        <v>25.0</v>
      </c>
      <c r="I23" s="5">
        <f>$C23</f>
        <v>25.0</v>
      </c>
      <c r="J23" s="5">
        <f>$C23</f>
        <v>25.0</v>
      </c>
      <c r="K23" s="5">
        <f>$C23</f>
        <v>25.0</v>
      </c>
      <c r="L23" s="5">
        <f>$C23</f>
        <v>25.0</v>
      </c>
      <c r="M23" s="5">
        <f>$C23</f>
        <v>25.0</v>
      </c>
      <c r="N23" s="5">
        <f>$C23</f>
        <v>25.0</v>
      </c>
      <c r="O23" s="5">
        <f>$C23</f>
        <v>25.0</v>
      </c>
      <c r="P23" s="5">
        <f>$C23</f>
        <v>25.0</v>
      </c>
      <c r="Q23" s="5">
        <f>$C23</f>
        <v>25.0</v>
      </c>
      <c r="R23" s="5">
        <f>$C23</f>
        <v>25.0</v>
      </c>
      <c r="S23" s="5">
        <f>$C23</f>
        <v>25.0</v>
      </c>
    </row>
    <row r="24">
      <c r="A24" s="0" t="inlineStr">
        <is>
          <t xml:space="preserve">Battery useful life</t>
        </is>
      </c>
      <c r="B24" s="0" t="inlineStr">
        <is>
          <t xml:space="preserve">years</t>
        </is>
      </c>
      <c r="C24" s="5">
        <f>AssumptionsLog!C28</f>
        <v>15.0</v>
      </c>
      <c r="D24" s="5">
        <f>$C24</f>
        <v>15.0</v>
      </c>
      <c r="E24" s="5">
        <f>$C24</f>
        <v>15.0</v>
      </c>
      <c r="F24" s="5">
        <f>$C24</f>
        <v>15.0</v>
      </c>
      <c r="G24" s="5">
        <f>$C24</f>
        <v>15.0</v>
      </c>
      <c r="H24" s="5">
        <f>$C24</f>
        <v>15.0</v>
      </c>
      <c r="I24" s="5">
        <f>$C24</f>
        <v>15.0</v>
      </c>
      <c r="J24" s="5">
        <f>$C24</f>
        <v>15.0</v>
      </c>
      <c r="K24" s="5">
        <f>$C24</f>
        <v>15.0</v>
      </c>
      <c r="L24" s="5">
        <f>$C24</f>
        <v>15.0</v>
      </c>
      <c r="M24" s="5">
        <f>$C24</f>
        <v>15.0</v>
      </c>
      <c r="N24" s="5">
        <f>$C24</f>
        <v>15.0</v>
      </c>
      <c r="O24" s="5">
        <f>$C24</f>
        <v>15.0</v>
      </c>
      <c r="P24" s="5">
        <f>$C24</f>
        <v>15.0</v>
      </c>
      <c r="Q24" s="5">
        <f>$C24</f>
        <v>15.0</v>
      </c>
      <c r="R24" s="5">
        <f>$C24</f>
        <v>15.0</v>
      </c>
      <c r="S24" s="5">
        <f>$C24</f>
        <v>15.0</v>
      </c>
    </row>
    <row r="25">
      <c r="A25" s="0" t="inlineStr">
        <is>
          <t xml:space="preserve">Utility's avoided energy cost</t>
        </is>
      </c>
      <c r="B25" s="0" t="inlineStr">
        <is>
          <t xml:space="preserve">$/kWh</t>
        </is>
      </c>
      <c r="C25" s="7">
        <f>AssumptionsLog!C29</f>
        <v>0.03</v>
      </c>
      <c r="D25" s="7">
        <f>$C25</f>
        <v>0.03</v>
      </c>
      <c r="E25" s="7">
        <f>$C25</f>
        <v>0.03</v>
      </c>
      <c r="F25" s="7">
        <f>$C25</f>
        <v>0.03</v>
      </c>
      <c r="G25" s="7">
        <f>$C25</f>
        <v>0.03</v>
      </c>
      <c r="H25" s="7">
        <f>$C25</f>
        <v>0.03</v>
      </c>
      <c r="I25" s="7">
        <f>$C25</f>
        <v>0.03</v>
      </c>
      <c r="J25" s="7">
        <f>$C25</f>
        <v>0.03</v>
      </c>
      <c r="K25" s="7">
        <f>$C25</f>
        <v>0.03</v>
      </c>
      <c r="L25" s="7">
        <f>$C25</f>
        <v>0.03</v>
      </c>
      <c r="M25" s="7">
        <f>$C25</f>
        <v>0.03</v>
      </c>
      <c r="N25" s="7">
        <f>$C25</f>
        <v>0.03</v>
      </c>
      <c r="O25" s="7">
        <f>$C25</f>
        <v>0.03</v>
      </c>
      <c r="P25" s="7">
        <f>$C25</f>
        <v>0.03</v>
      </c>
      <c r="Q25" s="7">
        <f>$C25</f>
        <v>0.03</v>
      </c>
      <c r="R25" s="7">
        <f>$C25</f>
        <v>0.03</v>
      </c>
      <c r="S25" s="7">
        <f>$C25</f>
        <v>0.03</v>
      </c>
    </row>
    <row r="26">
      <c r="A26" s="0" t="inlineStr">
        <is>
          <t xml:space="preserve">Utility's avoided capacity cost</t>
        </is>
      </c>
      <c r="B26" s="0" t="inlineStr">
        <is>
          <t xml:space="preserve">$/kW a year</t>
        </is>
      </c>
      <c r="C26" s="3">
        <f>AssumptionsLog!C30</f>
        <v>180.0</v>
      </c>
      <c r="D26" s="3">
        <f>$C26</f>
        <v>180.0</v>
      </c>
      <c r="E26" s="3">
        <f>$C26</f>
        <v>180.0</v>
      </c>
      <c r="F26" s="3">
        <f>$C26</f>
        <v>180.0</v>
      </c>
      <c r="G26" s="3">
        <f>$C26</f>
        <v>180.0</v>
      </c>
      <c r="H26" s="3">
        <f>$C26</f>
        <v>180.0</v>
      </c>
      <c r="I26" s="3">
        <f>$C26</f>
        <v>180.0</v>
      </c>
      <c r="J26" s="3">
        <f>$C26</f>
        <v>180.0</v>
      </c>
      <c r="K26" s="3">
        <f>$C26</f>
        <v>180.0</v>
      </c>
      <c r="L26" s="3">
        <f>$C26</f>
        <v>180.0</v>
      </c>
      <c r="M26" s="3">
        <f>$C26</f>
        <v>180.0</v>
      </c>
      <c r="N26" s="3">
        <f>$C26</f>
        <v>180.0</v>
      </c>
      <c r="O26" s="3">
        <f>$C26</f>
        <v>180.0</v>
      </c>
      <c r="P26" s="3">
        <f>$C26</f>
        <v>180.0</v>
      </c>
      <c r="Q26" s="3">
        <f>$C26</f>
        <v>180.0</v>
      </c>
      <c r="R26" s="3">
        <f>$C26</f>
        <v>180.0</v>
      </c>
      <c r="S26" s="3">
        <f>$C26</f>
        <v>180.0</v>
      </c>
    </row>
    <row r="27">
      <c r="A27" s="0" t="inlineStr">
        <is>
          <t xml:space="preserve">Share of the battery's peak cut that falls in the system's tightest hours</t>
        </is>
      </c>
      <c r="B27" s="0" t="inlineStr">
        <is>
          <t xml:space="preserve">fraction</t>
        </is>
      </c>
      <c r="C27" s="4">
        <f>AssumptionsLog!C31</f>
        <v>0.5</v>
      </c>
      <c r="D27" s="4">
        <f>$C27</f>
        <v>0.5</v>
      </c>
      <c r="E27" s="4">
        <f>$C27</f>
        <v>0.5</v>
      </c>
      <c r="F27" s="4">
        <f>$C27</f>
        <v>0.5</v>
      </c>
      <c r="G27" s="4">
        <f>$C27</f>
        <v>0.5</v>
      </c>
      <c r="H27" s="4">
        <f>$C27</f>
        <v>0.5</v>
      </c>
      <c r="I27" s="4">
        <f>$C27</f>
        <v>0.5</v>
      </c>
      <c r="J27" s="4">
        <f>$C27</f>
        <v>0.5</v>
      </c>
      <c r="K27" s="4">
        <f>$C27</f>
        <v>0.5</v>
      </c>
      <c r="L27" s="4">
        <f>$C27</f>
        <v>0.5</v>
      </c>
      <c r="M27" s="4">
        <f>$C27</f>
        <v>0.5</v>
      </c>
      <c r="N27" s="4">
        <f>$C27</f>
        <v>0.5</v>
      </c>
      <c r="O27" s="4">
        <f>$C27</f>
        <v>0.5</v>
      </c>
      <c r="P27" s="4">
        <f>$C27</f>
        <v>0.5</v>
      </c>
      <c r="Q27" s="4">
        <f>$C27</f>
        <v>0.5</v>
      </c>
      <c r="R27" s="4">
        <f>$C27</f>
        <v>0.5</v>
      </c>
      <c r="S27" s="4">
        <f>$C27</f>
        <v>0.5</v>
      </c>
    </row>
    <row r="28">
      <c r="A28" s="11" t="inlineStr">
        <is>
          <t xml:space="preserve">Calculations</t>
        </is>
      </c>
    </row>
    <row r="29">
      <c r="A29" s="0" t="inlineStr">
        <is>
          <t xml:space="preserve">Energy charge (derived: the school's bill before the project matches the EIA average)</t>
        </is>
      </c>
      <c r="B29" s="0" t="inlineStr">
        <is>
          <t xml:space="preserve">$/kWh</t>
        </is>
      </c>
      <c r="C29" s="7">
        <f>(C15*C13-C16*C14*12)/C13</f>
        <v>0.0637</v>
      </c>
      <c r="D29" s="7">
        <f>(D15*D13-D16*D14*12)/D13</f>
        <v>0.0637</v>
      </c>
      <c r="E29" s="7">
        <f>(E15*E13-E16*E14*12)/E13</f>
        <v>0.0637</v>
      </c>
      <c r="F29" s="7">
        <f>(F15*F13-F16*F14*12)/F13</f>
        <v>0.0877</v>
      </c>
      <c r="G29" s="7">
        <f>(G15*G13-G16*G14*12)/G13</f>
        <v>0.0157</v>
      </c>
      <c r="H29" s="7">
        <f>(H15*H13-H16*H14*12)/H13</f>
        <v>0.04136</v>
      </c>
      <c r="I29" s="7">
        <f>(I15*I13-I16*I14*12)/I13</f>
        <v>0.08604</v>
      </c>
      <c r="J29" s="7">
        <f>(J15*J13-J16*J14*12)/J13</f>
        <v>0.0637</v>
      </c>
      <c r="K29" s="7">
        <f>(K15*K13-K16*K14*12)/K13</f>
        <v>0.0637</v>
      </c>
      <c r="L29" s="7">
        <f>(L15*L13-L16*L14*12)/L13</f>
        <v>0.0637</v>
      </c>
      <c r="M29" s="7">
        <f>(M15*M13-M16*M14*12)/M13</f>
        <v>0.0637</v>
      </c>
      <c r="N29" s="7">
        <f>(N15*N13-N16*N14*12)/N13</f>
        <v>0.0637</v>
      </c>
      <c r="O29" s="7">
        <f>(O15*O13-O16*O14*12)/O13</f>
        <v>0.0637</v>
      </c>
      <c r="P29" s="7">
        <f>(P15*P13-P16*P14*12)/P13</f>
        <v>0.0637</v>
      </c>
      <c r="Q29" s="7">
        <f>(Q15*Q13-Q16*Q14*12)/Q13</f>
        <v>0.0637</v>
      </c>
      <c r="R29" s="7">
        <f>(R15*R13-R16*R14*12)/R13</f>
        <v>0.0637</v>
      </c>
      <c r="S29" s="7">
        <f>(S15*S13-S16*S14*12)/S13</f>
        <v>0.0637</v>
      </c>
    </row>
    <row r="30">
      <c r="A30" s="0" t="inlineStr">
        <is>
          <t xml:space="preserve">Solar output</t>
        </is>
      </c>
      <c r="B30" s="0" t="inlineStr">
        <is>
          <t xml:space="preserve">kWh a year</t>
        </is>
      </c>
      <c r="C30" s="5">
        <f>C5*C6*8760</f>
        <v>389820.0</v>
      </c>
      <c r="D30" s="5">
        <f>D5*D6*8760</f>
        <v>389820.0</v>
      </c>
      <c r="E30" s="5">
        <f>E5*E6*8760</f>
        <v>389820.0</v>
      </c>
      <c r="F30" s="5">
        <f>F5*F6*8760</f>
        <v>389820.0</v>
      </c>
      <c r="G30" s="5">
        <f>G5*G6*8760</f>
        <v>389820.0</v>
      </c>
      <c r="H30" s="5">
        <f>H5*H6*8760</f>
        <v>389820.0</v>
      </c>
      <c r="I30" s="5">
        <f>I5*I6*8760</f>
        <v>389820.0</v>
      </c>
      <c r="J30" s="5">
        <f>J5*J6*8760</f>
        <v>389820.0</v>
      </c>
      <c r="K30" s="5">
        <f>K5*K6*8760</f>
        <v>389820.0</v>
      </c>
      <c r="L30" s="5">
        <f>L5*L6*8760</f>
        <v>350838.00000000006</v>
      </c>
      <c r="M30" s="5">
        <f>M5*M6*8760</f>
        <v>428802.0</v>
      </c>
      <c r="N30" s="5">
        <f>N5*N6*8760</f>
        <v>389820.0</v>
      </c>
      <c r="O30" s="5">
        <f>O5*O6*8760</f>
        <v>389820.0</v>
      </c>
      <c r="P30" s="5">
        <f>P5*P6*8760</f>
        <v>389820.0</v>
      </c>
      <c r="Q30" s="5">
        <f>Q5*Q6*8760</f>
        <v>389820.0</v>
      </c>
      <c r="R30" s="5">
        <f>R5*R6*8760</f>
        <v>389820.0</v>
      </c>
      <c r="S30" s="5">
        <f>S5*S6*8760</f>
        <v>389820.0</v>
      </c>
    </row>
    <row r="31">
      <c r="A31" s="0" t="inlineStr">
        <is>
          <t xml:space="preserve">Used at the school</t>
        </is>
      </c>
      <c r="B31" s="0" t="inlineStr">
        <is>
          <t xml:space="preserve">kWh a year</t>
        </is>
      </c>
      <c r="C31" s="5">
        <f>C30*C7</f>
        <v>292365.0</v>
      </c>
      <c r="D31" s="5">
        <f>D30*D7</f>
        <v>292365.0</v>
      </c>
      <c r="E31" s="5">
        <f>E30*E7</f>
        <v>292365.0</v>
      </c>
      <c r="F31" s="5">
        <f>F30*F7</f>
        <v>292365.0</v>
      </c>
      <c r="G31" s="5">
        <f>G30*G7</f>
        <v>292365.0</v>
      </c>
      <c r="H31" s="5">
        <f>H30*H7</f>
        <v>292365.0</v>
      </c>
      <c r="I31" s="5">
        <f>I30*I7</f>
        <v>292365.0</v>
      </c>
      <c r="J31" s="5">
        <f>J30*J7</f>
        <v>292365.0</v>
      </c>
      <c r="K31" s="5">
        <f>K30*K7</f>
        <v>292365.0</v>
      </c>
      <c r="L31" s="5">
        <f>L30*L7</f>
        <v>263128.50000000006</v>
      </c>
      <c r="M31" s="5">
        <f>M30*M7</f>
        <v>321601.5</v>
      </c>
      <c r="N31" s="5">
        <f>N30*N7</f>
        <v>233892.0</v>
      </c>
      <c r="O31" s="5">
        <f>O30*O7</f>
        <v>350838.0</v>
      </c>
      <c r="P31" s="5">
        <f>P30*P7</f>
        <v>292365.0</v>
      </c>
      <c r="Q31" s="5">
        <f>Q30*Q7</f>
        <v>292365.0</v>
      </c>
      <c r="R31" s="5">
        <f>R30*R7</f>
        <v>292365.0</v>
      </c>
      <c r="S31" s="5">
        <f>S30*S7</f>
        <v>292365.0</v>
      </c>
    </row>
    <row r="32">
      <c r="A32" s="0" t="inlineStr">
        <is>
          <t xml:space="preserve">Sent to the grid</t>
        </is>
      </c>
      <c r="B32" s="0" t="inlineStr">
        <is>
          <t xml:space="preserve">kWh a year</t>
        </is>
      </c>
      <c r="C32" s="5">
        <f>C30-C31</f>
        <v>97455.0</v>
      </c>
      <c r="D32" s="5">
        <f>D30-D31</f>
        <v>97455.0</v>
      </c>
      <c r="E32" s="5">
        <f>E30-E31</f>
        <v>97455.0</v>
      </c>
      <c r="F32" s="5">
        <f>F30-F31</f>
        <v>97455.0</v>
      </c>
      <c r="G32" s="5">
        <f>G30-G31</f>
        <v>97455.0</v>
      </c>
      <c r="H32" s="5">
        <f>H30-H31</f>
        <v>97455.0</v>
      </c>
      <c r="I32" s="5">
        <f>I30-I31</f>
        <v>97455.0</v>
      </c>
      <c r="J32" s="5">
        <f>J30-J31</f>
        <v>97455.0</v>
      </c>
      <c r="K32" s="5">
        <f>K30-K31</f>
        <v>97455.0</v>
      </c>
      <c r="L32" s="5">
        <f>L30-L31</f>
        <v>87709.5</v>
      </c>
      <c r="M32" s="5">
        <f>M30-M31</f>
        <v>107200.5</v>
      </c>
      <c r="N32" s="5">
        <f>N30-N31</f>
        <v>155928.0</v>
      </c>
      <c r="O32" s="5">
        <f>O30-O31</f>
        <v>38982.0</v>
      </c>
      <c r="P32" s="5">
        <f>P30-P31</f>
        <v>97455.0</v>
      </c>
      <c r="Q32" s="5">
        <f>Q30-Q31</f>
        <v>97455.0</v>
      </c>
      <c r="R32" s="5">
        <f>R30-R31</f>
        <v>97455.0</v>
      </c>
      <c r="S32" s="5">
        <f>S30-S31</f>
        <v>97455.0</v>
      </c>
    </row>
    <row r="33">
      <c r="A33" s="0" t="inlineStr">
        <is>
          <t xml:space="preserve">Saving on energy charges</t>
        </is>
      </c>
      <c r="B33" s="0" t="inlineStr">
        <is>
          <t xml:space="preserve">$ a year</t>
        </is>
      </c>
      <c r="C33" s="3">
        <f>C31*C29</f>
        <v>18623.650500000003</v>
      </c>
      <c r="D33" s="3">
        <f>D31*D29</f>
        <v>18623.650500000003</v>
      </c>
      <c r="E33" s="3">
        <f>E31*E29</f>
        <v>18623.650500000003</v>
      </c>
      <c r="F33" s="3">
        <f>F31*F29</f>
        <v>25640.4105</v>
      </c>
      <c r="G33" s="3">
        <f>G31*G29</f>
        <v>4590.130499999999</v>
      </c>
      <c r="H33" s="3">
        <f>H31*H29</f>
        <v>12092.216400000001</v>
      </c>
      <c r="I33" s="3">
        <f>I31*I29</f>
        <v>25155.084600000002</v>
      </c>
      <c r="J33" s="3">
        <f>J31*J29</f>
        <v>18623.650500000003</v>
      </c>
      <c r="K33" s="3">
        <f>K31*K29</f>
        <v>18623.650500000003</v>
      </c>
      <c r="L33" s="3">
        <f>L31*L29</f>
        <v>16761.285450000007</v>
      </c>
      <c r="M33" s="3">
        <f>M31*M29</f>
        <v>20486.015550000004</v>
      </c>
      <c r="N33" s="3">
        <f>N31*N29</f>
        <v>14898.9204</v>
      </c>
      <c r="O33" s="3">
        <f>O31*O29</f>
        <v>22348.380600000004</v>
      </c>
      <c r="P33" s="3">
        <f>P31*P29</f>
        <v>18623.650500000003</v>
      </c>
      <c r="Q33" s="3">
        <f>Q31*Q29</f>
        <v>18623.650500000003</v>
      </c>
      <c r="R33" s="3">
        <f>R31*R29</f>
        <v>18623.650500000003</v>
      </c>
      <c r="S33" s="3">
        <f>S31*S29</f>
        <v>18623.650500000003</v>
      </c>
    </row>
    <row r="34">
      <c r="A34" s="0" t="inlineStr">
        <is>
          <t xml:space="preserve">Credit for exports</t>
        </is>
      </c>
      <c r="B34" s="0" t="inlineStr">
        <is>
          <t xml:space="preserve">$ a year</t>
        </is>
      </c>
      <c r="C34" s="3">
        <f>C32*C17</f>
        <v>2923.65</v>
      </c>
      <c r="D34" s="3">
        <f>D32*D17</f>
        <v>2923.65</v>
      </c>
      <c r="E34" s="3">
        <f>E32*E17</f>
        <v>2923.65</v>
      </c>
      <c r="F34" s="3">
        <f>F32*F17</f>
        <v>2923.65</v>
      </c>
      <c r="G34" s="3">
        <f>G32*G17</f>
        <v>2923.65</v>
      </c>
      <c r="H34" s="3">
        <f>H32*H17</f>
        <v>2923.65</v>
      </c>
      <c r="I34" s="3">
        <f>I32*I17</f>
        <v>2923.65</v>
      </c>
      <c r="J34" s="3">
        <f>J32*J17</f>
        <v>2923.65</v>
      </c>
      <c r="K34" s="3">
        <f>K32*K17</f>
        <v>2923.65</v>
      </c>
      <c r="L34" s="3">
        <f>L32*L17</f>
        <v>2631.285</v>
      </c>
      <c r="M34" s="3">
        <f>M32*M17</f>
        <v>3216.015</v>
      </c>
      <c r="N34" s="3">
        <f>N32*N17</f>
        <v>4677.84</v>
      </c>
      <c r="O34" s="3">
        <f>O32*O17</f>
        <v>1169.46</v>
      </c>
      <c r="P34" s="3">
        <f>P32*P17</f>
        <v>2923.65</v>
      </c>
      <c r="Q34" s="3">
        <f>Q32*Q17</f>
        <v>2923.65</v>
      </c>
      <c r="R34" s="3">
        <f>R32*R17</f>
        <v>2923.65</v>
      </c>
      <c r="S34" s="3">
        <f>S32*S17</f>
        <v>2923.65</v>
      </c>
    </row>
    <row r="35">
      <c r="A35" s="0" t="inlineStr">
        <is>
          <t xml:space="preserve">Saving on demand charges</t>
        </is>
      </c>
      <c r="B35" s="0" t="inlineStr">
        <is>
          <t xml:space="preserve">$ a year</t>
        </is>
      </c>
      <c r="C35" s="3">
        <f>C8*C10*C16*12</f>
        <v>10800.0</v>
      </c>
      <c r="D35" s="3">
        <f>D8*D10*D16*12</f>
        <v>10800.0</v>
      </c>
      <c r="E35" s="3">
        <f>E8*E10*E16*12</f>
        <v>10800.0</v>
      </c>
      <c r="F35" s="3">
        <f>F8*F10*F16*12</f>
        <v>5400.0</v>
      </c>
      <c r="G35" s="3">
        <f>G8*G10*G16*12</f>
        <v>21600.0</v>
      </c>
      <c r="H35" s="3">
        <f>H8*H10*H16*12</f>
        <v>10800.0</v>
      </c>
      <c r="I35" s="3">
        <f>I8*I10*I16*12</f>
        <v>10800.0</v>
      </c>
      <c r="J35" s="3">
        <f>J8*J10*J16*12</f>
        <v>10800.0</v>
      </c>
      <c r="K35" s="3">
        <f>K8*K10*K16*12</f>
        <v>10800.0</v>
      </c>
      <c r="L35" s="3">
        <f>L8*L10*L16*12</f>
        <v>10800.0</v>
      </c>
      <c r="M35" s="3">
        <f>M8*M10*M16*12</f>
        <v>10800.0</v>
      </c>
      <c r="N35" s="3">
        <f>N8*N10*N16*12</f>
        <v>10800.0</v>
      </c>
      <c r="O35" s="3">
        <f>O8*O10*O16*12</f>
        <v>10800.0</v>
      </c>
      <c r="P35" s="3">
        <f>P8*P10*P16*12</f>
        <v>5400.0</v>
      </c>
      <c r="Q35" s="3">
        <f>Q8*Q10*Q16*12</f>
        <v>16200.0</v>
      </c>
      <c r="R35" s="3">
        <f>R8*R10*R16*12</f>
        <v>10800.0</v>
      </c>
      <c r="S35" s="3">
        <f>S8*S10*S16*12</f>
        <v>10800.0</v>
      </c>
    </row>
    <row r="36">
      <c r="A36" s="0" t="inlineStr">
        <is>
          <t xml:space="preserve">Battery losses</t>
        </is>
      </c>
      <c r="B36" s="0" t="inlineStr">
        <is>
          <t xml:space="preserve">kWh a year</t>
        </is>
      </c>
      <c r="C36" s="5">
        <f>C11*C9*(1-C12)</f>
        <v>5999.999999999999</v>
      </c>
      <c r="D36" s="5">
        <f>D11*D9*(1-D12)</f>
        <v>5999.999999999999</v>
      </c>
      <c r="E36" s="5">
        <f>E11*E9*(1-E12)</f>
        <v>5999.999999999999</v>
      </c>
      <c r="F36" s="5">
        <f>F11*F9*(1-F12)</f>
        <v>5999.999999999999</v>
      </c>
      <c r="G36" s="5">
        <f>G11*G9*(1-G12)</f>
        <v>5999.999999999999</v>
      </c>
      <c r="H36" s="5">
        <f>H11*H9*(1-H12)</f>
        <v>5999.999999999999</v>
      </c>
      <c r="I36" s="5">
        <f>I11*I9*(1-I12)</f>
        <v>5999.999999999999</v>
      </c>
      <c r="J36" s="5">
        <f>J11*J9*(1-J12)</f>
        <v>5999.999999999999</v>
      </c>
      <c r="K36" s="5">
        <f>K11*K9*(1-K12)</f>
        <v>5999.999999999999</v>
      </c>
      <c r="L36" s="5">
        <f>L11*L9*(1-L12)</f>
        <v>5999.999999999999</v>
      </c>
      <c r="M36" s="5">
        <f>M11*M9*(1-M12)</f>
        <v>5999.999999999999</v>
      </c>
      <c r="N36" s="5">
        <f>N11*N9*(1-N12)</f>
        <v>5999.999999999999</v>
      </c>
      <c r="O36" s="5">
        <f>O11*O9*(1-O12)</f>
        <v>5999.999999999999</v>
      </c>
      <c r="P36" s="5">
        <f>P11*P9*(1-P12)</f>
        <v>5999.999999999999</v>
      </c>
      <c r="Q36" s="5">
        <f>Q11*Q9*(1-Q12)</f>
        <v>5999.999999999999</v>
      </c>
      <c r="R36" s="5">
        <f>R11*R9*(1-R12)</f>
        <v>5999.999999999999</v>
      </c>
      <c r="S36" s="5">
        <f>S11*S9*(1-S12)</f>
        <v>5999.999999999999</v>
      </c>
    </row>
    <row r="37">
      <c r="A37" s="0" t="inlineStr">
        <is>
          <t xml:space="preserve">Cost of battery losses</t>
        </is>
      </c>
      <c r="B37" s="0" t="inlineStr">
        <is>
          <t xml:space="preserve">$ a year</t>
        </is>
      </c>
      <c r="C37" s="3">
        <f>-C36*C29</f>
        <v>-382.2</v>
      </c>
      <c r="D37" s="3">
        <f>-D36*D29</f>
        <v>-382.2</v>
      </c>
      <c r="E37" s="3">
        <f>-E36*E29</f>
        <v>-382.2</v>
      </c>
      <c r="F37" s="3">
        <f>-F36*F29</f>
        <v>-526.1999999999999</v>
      </c>
      <c r="G37" s="3">
        <f>-G36*G29</f>
        <v>-94.19999999999997</v>
      </c>
      <c r="H37" s="3">
        <f>-H36*H29</f>
        <v>-248.15999999999997</v>
      </c>
      <c r="I37" s="3">
        <f>-I36*I29</f>
        <v>-516.24</v>
      </c>
      <c r="J37" s="3">
        <f>-J36*J29</f>
        <v>-382.2</v>
      </c>
      <c r="K37" s="3">
        <f>-K36*K29</f>
        <v>-382.2</v>
      </c>
      <c r="L37" s="3">
        <f>-L36*L29</f>
        <v>-382.2</v>
      </c>
      <c r="M37" s="3">
        <f>-M36*M29</f>
        <v>-382.2</v>
      </c>
      <c r="N37" s="3">
        <f>-N36*N29</f>
        <v>-382.2</v>
      </c>
      <c r="O37" s="3">
        <f>-O36*O29</f>
        <v>-382.2</v>
      </c>
      <c r="P37" s="3">
        <f>-P36*P29</f>
        <v>-382.2</v>
      </c>
      <c r="Q37" s="3">
        <f>-Q36*Q29</f>
        <v>-382.2</v>
      </c>
      <c r="R37" s="3">
        <f>-R36*R29</f>
        <v>-382.2</v>
      </c>
      <c r="S37" s="3">
        <f>-S36*S29</f>
        <v>-382.2</v>
      </c>
    </row>
    <row r="38">
      <c r="A38" s="0" t="inlineStr">
        <is>
          <t xml:space="preserve">Bill saving, gross</t>
        </is>
      </c>
      <c r="B38" s="0" t="inlineStr">
        <is>
          <t xml:space="preserve">$ a year</t>
        </is>
      </c>
      <c r="C38" s="3">
        <f>C33+C34+C35+C37</f>
        <v>31965.100500000004</v>
      </c>
      <c r="D38" s="3">
        <f>D33+D34+D35+D37</f>
        <v>31965.100500000004</v>
      </c>
      <c r="E38" s="3">
        <f>E33+E34+E35+E37</f>
        <v>31965.100500000004</v>
      </c>
      <c r="F38" s="3">
        <f>F33+F34+F35+F37</f>
        <v>33437.86050000001</v>
      </c>
      <c r="G38" s="3">
        <f>G33+G34+G35+G37</f>
        <v>29019.5805</v>
      </c>
      <c r="H38" s="3">
        <f>H33+H34+H35+H37</f>
        <v>25567.7064</v>
      </c>
      <c r="I38" s="3">
        <f>I33+I34+I35+I37</f>
        <v>38362.494600000005</v>
      </c>
      <c r="J38" s="3">
        <f>J33+J34+J35+J37</f>
        <v>31965.100500000004</v>
      </c>
      <c r="K38" s="3">
        <f>K33+K34+K35+K37</f>
        <v>31965.100500000004</v>
      </c>
      <c r="L38" s="3">
        <f>L33+L34+L35+L37</f>
        <v>29810.370450000006</v>
      </c>
      <c r="M38" s="3">
        <f>M33+M34+M35+M37</f>
        <v>34119.830550000006</v>
      </c>
      <c r="N38" s="3">
        <f>N33+N34+N35+N37</f>
        <v>29994.5604</v>
      </c>
      <c r="O38" s="3">
        <f>O33+O34+O35+O37</f>
        <v>33935.640600000006</v>
      </c>
      <c r="P38" s="3">
        <f>P33+P34+P35+P37</f>
        <v>26565.100500000004</v>
      </c>
      <c r="Q38" s="3">
        <f>Q33+Q34+Q35+Q37</f>
        <v>37365.10050000001</v>
      </c>
      <c r="R38" s="3">
        <f>R33+R34+R35+R37</f>
        <v>31965.100500000004</v>
      </c>
      <c r="S38" s="3">
        <f>S33+S34+S35+S37</f>
        <v>31965.100500000004</v>
      </c>
    </row>
    <row r="39">
      <c r="A39" s="0" t="inlineStr">
        <is>
          <t xml:space="preserve">Upkeep, solar and battery</t>
        </is>
      </c>
      <c r="B39" s="0" t="inlineStr">
        <is>
          <t xml:space="preserve">$ a year</t>
        </is>
      </c>
      <c r="C39" s="3">
        <f>C20+C21</f>
        <v>14972.168855388372</v>
      </c>
      <c r="D39" s="3">
        <f>D20+D21</f>
        <v>14972.168855388372</v>
      </c>
      <c r="E39" s="3">
        <f>E20+E21</f>
        <v>14972.168855388372</v>
      </c>
      <c r="F39" s="3">
        <f>F20+F21</f>
        <v>14972.168855388372</v>
      </c>
      <c r="G39" s="3">
        <f>G20+G21</f>
        <v>14972.168855388372</v>
      </c>
      <c r="H39" s="3">
        <f>H20+H21</f>
        <v>14972.168855388372</v>
      </c>
      <c r="I39" s="3">
        <f>I20+I21</f>
        <v>14972.168855388372</v>
      </c>
      <c r="J39" s="3">
        <f>J20+J21</f>
        <v>14972.168855388372</v>
      </c>
      <c r="K39" s="3">
        <f>K20+K21</f>
        <v>14972.168855388372</v>
      </c>
      <c r="L39" s="3">
        <f>L20+L21</f>
        <v>14972.168855388372</v>
      </c>
      <c r="M39" s="3">
        <f>M20+M21</f>
        <v>14972.168855388372</v>
      </c>
      <c r="N39" s="3">
        <f>N20+N21</f>
        <v>14972.168855388372</v>
      </c>
      <c r="O39" s="3">
        <f>O20+O21</f>
        <v>14972.168855388372</v>
      </c>
      <c r="P39" s="3">
        <f>P20+P21</f>
        <v>14972.168855388372</v>
      </c>
      <c r="Q39" s="3">
        <f>Q20+Q21</f>
        <v>14972.168855388372</v>
      </c>
      <c r="R39" s="3">
        <f>R20+R21</f>
        <v>11229.12664154128</v>
      </c>
      <c r="S39" s="3">
        <f>S20+S21</f>
        <v>18715.211069235465</v>
      </c>
    </row>
    <row r="40">
      <c r="A40" s="0" t="inlineStr">
        <is>
          <t xml:space="preserve">Net saving a year</t>
        </is>
      </c>
      <c r="B40" s="0" t="inlineStr">
        <is>
          <t xml:space="preserve">$ a year</t>
        </is>
      </c>
      <c r="C40" s="3">
        <f>C38-C39</f>
        <v>16992.93164461163</v>
      </c>
      <c r="D40" s="3">
        <f>D38-D39</f>
        <v>16992.93164461163</v>
      </c>
      <c r="E40" s="3">
        <f>E38-E39</f>
        <v>16992.93164461163</v>
      </c>
      <c r="F40" s="3">
        <f>F38-F39</f>
        <v>18465.691644611637</v>
      </c>
      <c r="G40" s="3">
        <f>G38-G39</f>
        <v>14047.411644611628</v>
      </c>
      <c r="H40" s="3">
        <f>H38-H39</f>
        <v>10595.537544611627</v>
      </c>
      <c r="I40" s="3">
        <f>I38-I39</f>
        <v>23390.325744611633</v>
      </c>
      <c r="J40" s="3">
        <f>J38-J39</f>
        <v>16992.93164461163</v>
      </c>
      <c r="K40" s="3">
        <f>K38-K39</f>
        <v>16992.93164461163</v>
      </c>
      <c r="L40" s="3">
        <f>L38-L39</f>
        <v>14838.201594611633</v>
      </c>
      <c r="M40" s="3">
        <f>M38-M39</f>
        <v>19147.661694611634</v>
      </c>
      <c r="N40" s="3">
        <f>N38-N39</f>
        <v>15022.391544611626</v>
      </c>
      <c r="O40" s="3">
        <f>O38-O39</f>
        <v>18963.471744611634</v>
      </c>
      <c r="P40" s="3">
        <f>P38-P39</f>
        <v>11592.931644611632</v>
      </c>
      <c r="Q40" s="3">
        <f>Q38-Q39</f>
        <v>22392.931644611635</v>
      </c>
      <c r="R40" s="3">
        <f>R38-R39</f>
        <v>20735.973858458725</v>
      </c>
      <c r="S40" s="3">
        <f>S38-S39</f>
        <v>13249.889430764539</v>
      </c>
    </row>
    <row r="41">
      <c r="A41" s="0" t="inlineStr">
        <is>
          <t xml:space="preserve">Annuity factor</t>
        </is>
      </c>
      <c r="B41" s="0" t="inlineStr">
        <is>
          <t xml:space="preserve">years</t>
        </is>
      </c>
      <c r="C41" s="5">
        <f>(1-(1+C22)^-C23)/C22</f>
        <v>15.6220799436509</v>
      </c>
      <c r="D41" s="5">
        <f>(1-(1+D22)^-D23)/D22</f>
        <v>15.6220799436509</v>
      </c>
      <c r="E41" s="5">
        <f>(1-(1+E22)^-E23)/E22</f>
        <v>15.6220799436509</v>
      </c>
      <c r="F41" s="5">
        <f>(1-(1+F22)^-F23)/F22</f>
        <v>15.6220799436509</v>
      </c>
      <c r="G41" s="5">
        <f>(1-(1+G22)^-G23)/G22</f>
        <v>15.6220799436509</v>
      </c>
      <c r="H41" s="5">
        <f>(1-(1+H22)^-H23)/H22</f>
        <v>15.6220799436509</v>
      </c>
      <c r="I41" s="5">
        <f>(1-(1+I22)^-I23)/I22</f>
        <v>15.6220799436509</v>
      </c>
      <c r="J41" s="5">
        <f>(1-(1+J22)^-J23)/J22</f>
        <v>19.523456473586055</v>
      </c>
      <c r="K41" s="5">
        <f>(1-(1+K22)^-K23)/K22</f>
        <v>11.653583178253722</v>
      </c>
      <c r="L41" s="5">
        <f>(1-(1+L22)^-L23)/L22</f>
        <v>15.6220799436509</v>
      </c>
      <c r="M41" s="5">
        <f>(1-(1+M22)^-M23)/M22</f>
        <v>15.6220799436509</v>
      </c>
      <c r="N41" s="5">
        <f>(1-(1+N22)^-N23)/N22</f>
        <v>15.6220799436509</v>
      </c>
      <c r="O41" s="5">
        <f>(1-(1+O22)^-O23)/O22</f>
        <v>15.6220799436509</v>
      </c>
      <c r="P41" s="5">
        <f>(1-(1+P22)^-P23)/P22</f>
        <v>15.6220799436509</v>
      </c>
      <c r="Q41" s="5">
        <f>(1-(1+Q22)^-Q23)/Q22</f>
        <v>15.6220799436509</v>
      </c>
      <c r="R41" s="5">
        <f>(1-(1+R22)^-R23)/R22</f>
        <v>15.6220799436509</v>
      </c>
      <c r="S41" s="5">
        <f>(1-(1+S22)^-S23)/S22</f>
        <v>15.6220799436509</v>
      </c>
    </row>
    <row r="42">
      <c r="A42" s="0" t="inlineStr">
        <is>
          <t xml:space="preserve">Present value of net savings</t>
        </is>
      </c>
      <c r="B42" s="0" t="inlineStr">
        <is>
          <t xml:space="preserve">$</t>
        </is>
      </c>
      <c r="C42" s="3">
        <f>C40*C41</f>
        <v>265464.9366291181</v>
      </c>
      <c r="D42" s="3">
        <f>D40*D41</f>
        <v>265464.9366291181</v>
      </c>
      <c r="E42" s="3">
        <f>E40*E41</f>
        <v>265464.9366291181</v>
      </c>
      <c r="F42" s="3">
        <f>F40*F41</f>
        <v>288472.5110869295</v>
      </c>
      <c r="G42" s="3">
        <f>G40*G41</f>
        <v>219449.78771349543</v>
      </c>
      <c r="H42" s="3">
        <f>H40*H41</f>
        <v>165524.3345678774</v>
      </c>
      <c r="I42" s="3">
        <f>I40*I41</f>
        <v>365405.5386903587</v>
      </c>
      <c r="J42" s="3">
        <f>J40*J41</f>
        <v>331760.7613221983</v>
      </c>
      <c r="K42" s="3">
        <f>K40*K41</f>
        <v>198028.54236286148</v>
      </c>
      <c r="L42" s="3">
        <f>L40*L41</f>
        <v>231803.57153103122</v>
      </c>
      <c r="M42" s="3">
        <f>M40*M41</f>
        <v>299126.30172720505</v>
      </c>
      <c r="N42" s="3">
        <f>N40*N41</f>
        <v>234681.00165474816</v>
      </c>
      <c r="O42" s="3">
        <f>O40*O41</f>
        <v>296248.87160348793</v>
      </c>
      <c r="P42" s="3">
        <f>P40*P41</f>
        <v>181105.70493340323</v>
      </c>
      <c r="Q42" s="3">
        <f>Q40*Q41</f>
        <v>349824.16832483304</v>
      </c>
      <c r="R42" s="3">
        <f>R40*R41</f>
        <v>323939.04132629745</v>
      </c>
      <c r="S42" s="3">
        <f>S40*S41</f>
        <v>206990.83193193874</v>
      </c>
    </row>
    <row r="43">
      <c r="A43" s="0" t="inlineStr">
        <is>
          <t xml:space="preserve">Present value of the battery replacement</t>
        </is>
      </c>
      <c r="B43" s="0" t="inlineStr">
        <is>
          <t xml:space="preserve">$</t>
        </is>
      </c>
      <c r="C43" s="3">
        <f>C19*(1+C22)^-C24</f>
        <v>226819.86052571193</v>
      </c>
      <c r="D43" s="3">
        <f>D19*(1+D22)^-D24</f>
        <v>226819.86052571193</v>
      </c>
      <c r="E43" s="3">
        <f>E19*(1+E22)^-E24</f>
        <v>226819.86052571193</v>
      </c>
      <c r="F43" s="3">
        <f>F19*(1+F22)^-F24</f>
        <v>226819.86052571193</v>
      </c>
      <c r="G43" s="3">
        <f>G19*(1+G22)^-G24</f>
        <v>226819.86052571193</v>
      </c>
      <c r="H43" s="3">
        <f>H19*(1+H22)^-H24</f>
        <v>226819.86052571193</v>
      </c>
      <c r="I43" s="3">
        <f>I19*(1+I22)^-I24</f>
        <v>226819.86052571193</v>
      </c>
      <c r="J43" s="3">
        <f>J19*(1+J22)^-J24</f>
        <v>303513.90481658507</v>
      </c>
      <c r="K43" s="3">
        <f>K19*(1+K22)^-K24</f>
        <v>148055.48566793697</v>
      </c>
      <c r="L43" s="3">
        <f>L19*(1+L22)^-L24</f>
        <v>226819.86052571193</v>
      </c>
      <c r="M43" s="3">
        <f>M19*(1+M22)^-M24</f>
        <v>226819.86052571193</v>
      </c>
      <c r="N43" s="3">
        <f>N19*(1+N22)^-N24</f>
        <v>226819.86052571193</v>
      </c>
      <c r="O43" s="3">
        <f>O19*(1+O22)^-O24</f>
        <v>226819.86052571193</v>
      </c>
      <c r="P43" s="3">
        <f>P19*(1+P22)^-P24</f>
        <v>226819.86052571193</v>
      </c>
      <c r="Q43" s="3">
        <f>Q19*(1+Q22)^-Q24</f>
        <v>226819.86052571193</v>
      </c>
      <c r="R43" s="3">
        <f>R19*(1+R22)^-R24</f>
        <v>226819.86052571193</v>
      </c>
      <c r="S43" s="3">
        <f>S19*(1+S22)^-S24</f>
        <v>226819.86052571193</v>
      </c>
    </row>
    <row r="44">
      <c r="A44" s="0" t="inlineStr">
        <is>
          <t xml:space="preserve">Replacement battery's value left at the end (straight line: 5 of its 15 years left at year 25)</t>
        </is>
      </c>
      <c r="B44" s="0" t="inlineStr">
        <is>
          <t xml:space="preserve">$</t>
        </is>
      </c>
      <c r="C44" s="3">
        <f>C19*(C24-(C23-C24))/C24</f>
        <v>136163.25157792182</v>
      </c>
      <c r="D44" s="3">
        <f>D19*(D24-(D23-D24))/D24</f>
        <v>136163.25157792182</v>
      </c>
      <c r="E44" s="3">
        <f>E19*(E24-(E23-E24))/E24</f>
        <v>136163.25157792182</v>
      </c>
      <c r="F44" s="3">
        <f>F19*(F24-(F23-F24))/F24</f>
        <v>136163.25157792182</v>
      </c>
      <c r="G44" s="3">
        <f>G19*(G24-(G23-G24))/G24</f>
        <v>136163.25157792182</v>
      </c>
      <c r="H44" s="3">
        <f>H19*(H24-(H23-H24))/H24</f>
        <v>136163.25157792182</v>
      </c>
      <c r="I44" s="3">
        <f>I19*(I24-(I23-I24))/I24</f>
        <v>136163.25157792182</v>
      </c>
      <c r="J44" s="3">
        <f>J19*(J24-(J23-J24))/J24</f>
        <v>136163.25157792182</v>
      </c>
      <c r="K44" s="3">
        <f>K19*(K24-(K23-K24))/K24</f>
        <v>136163.25157792182</v>
      </c>
      <c r="L44" s="3">
        <f>L19*(L24-(L23-L24))/L24</f>
        <v>136163.25157792182</v>
      </c>
      <c r="M44" s="3">
        <f>M19*(M24-(M23-M24))/M24</f>
        <v>136163.25157792182</v>
      </c>
      <c r="N44" s="3">
        <f>N19*(N24-(N23-N24))/N24</f>
        <v>136163.25157792182</v>
      </c>
      <c r="O44" s="3">
        <f>O19*(O24-(O23-O24))/O24</f>
        <v>136163.25157792182</v>
      </c>
      <c r="P44" s="3">
        <f>P19*(P24-(P23-P24))/P24</f>
        <v>136163.25157792182</v>
      </c>
      <c r="Q44" s="3">
        <f>Q19*(Q24-(Q23-Q24))/Q24</f>
        <v>136163.25157792182</v>
      </c>
      <c r="R44" s="3">
        <f>R19*(R24-(R23-R24))/R24</f>
        <v>136163.25157792182</v>
      </c>
      <c r="S44" s="3">
        <f>S19*(S24-(S23-S24))/S24</f>
        <v>136163.25157792182</v>
      </c>
    </row>
    <row r="45">
      <c r="A45" s="0" t="inlineStr">
        <is>
          <t xml:space="preserve">Present value of that residual</t>
        </is>
      </c>
      <c r="B45" s="0" t="inlineStr">
        <is>
          <t xml:space="preserve">$</t>
        </is>
      </c>
      <c r="C45" s="3">
        <f>C44*(1+C22)^-C23</f>
        <v>51077.123516412044</v>
      </c>
      <c r="D45" s="3">
        <f>D44*(1+D22)^-D23</f>
        <v>51077.123516412044</v>
      </c>
      <c r="E45" s="3">
        <f>E44*(1+E22)^-E23</f>
        <v>51077.123516412044</v>
      </c>
      <c r="F45" s="3">
        <f>F44*(1+F22)^-F23</f>
        <v>51077.123516412044</v>
      </c>
      <c r="G45" s="3">
        <f>G44*(1+G22)^-G23</f>
        <v>51077.123516412044</v>
      </c>
      <c r="H45" s="3">
        <f>H44*(1+H22)^-H23</f>
        <v>51077.123516412044</v>
      </c>
      <c r="I45" s="3">
        <f>I44*(1+I22)^-I23</f>
        <v>51077.123516412044</v>
      </c>
      <c r="J45" s="3">
        <f>J44*(1+J22)^-J23</f>
        <v>82995.70526825174</v>
      </c>
      <c r="K45" s="3">
        <f>K44*(1+K22)^-K23</f>
        <v>25087.967111985854</v>
      </c>
      <c r="L45" s="3">
        <f>L44*(1+L22)^-L23</f>
        <v>51077.123516412044</v>
      </c>
      <c r="M45" s="3">
        <f>M44*(1+M22)^-M23</f>
        <v>51077.123516412044</v>
      </c>
      <c r="N45" s="3">
        <f>N44*(1+N22)^-N23</f>
        <v>51077.123516412044</v>
      </c>
      <c r="O45" s="3">
        <f>O44*(1+O22)^-O23</f>
        <v>51077.123516412044</v>
      </c>
      <c r="P45" s="3">
        <f>P44*(1+P22)^-P23</f>
        <v>51077.123516412044</v>
      </c>
      <c r="Q45" s="3">
        <f>Q44*(1+Q22)^-Q23</f>
        <v>51077.123516412044</v>
      </c>
      <c r="R45" s="3">
        <f>R44*(1+R22)^-R23</f>
        <v>51077.123516412044</v>
      </c>
      <c r="S45" s="3">
        <f>S44*(1+S22)^-S23</f>
        <v>51077.123516412044</v>
      </c>
    </row>
    <row r="46">
      <c r="A46" s="11" t="inlineStr">
        <is>
          <t xml:space="preserve">MAIN RESULT: net present value to the school</t>
        </is>
      </c>
      <c r="B46" s="0" t="inlineStr">
        <is>
          <t xml:space="preserve">$</t>
        </is>
      </c>
      <c r="C46" s="9">
        <f>-C18+C42-C43+C45</f>
        <v>-776324.16374698</v>
      </c>
      <c r="D46" s="9">
        <f>-D18+D42-D43+D45</f>
        <v>-559812.5729052804</v>
      </c>
      <c r="E46" s="9">
        <f>-E18+E42-E43+E45</f>
        <v>-992835.7545886794</v>
      </c>
      <c r="F46" s="9">
        <f>-F18+F42-F43+F45</f>
        <v>-753316.5892891686</v>
      </c>
      <c r="G46" s="9">
        <f>-G18+G42-G43+G45</f>
        <v>-822339.3126626026</v>
      </c>
      <c r="H46" s="9">
        <f>-H18+H42-H43+H45</f>
        <v>-876264.7658082207</v>
      </c>
      <c r="I46" s="9">
        <f>-I18+I42-I43+I45</f>
        <v>-676383.5616857393</v>
      </c>
      <c r="J46" s="9">
        <f>-J18+J42-J43+J45</f>
        <v>-754803.8015929332</v>
      </c>
      <c r="K46" s="9">
        <f>-K18+K42-K43+K45</f>
        <v>-790985.3395598878</v>
      </c>
      <c r="L46" s="9">
        <f>-L18+L42-L43+L45</f>
        <v>-809985.5288450669</v>
      </c>
      <c r="M46" s="9">
        <f>-M18+M42-M43+M45</f>
        <v>-742662.7986488929</v>
      </c>
      <c r="N46" s="9">
        <f>-N18+N42-N43+N45</f>
        <v>-807108.0987213498</v>
      </c>
      <c r="O46" s="9">
        <f>-O18+O42-O43+O45</f>
        <v>-745540.2287726102</v>
      </c>
      <c r="P46" s="9">
        <f>-P18+P42-P43+P45</f>
        <v>-860683.3954426949</v>
      </c>
      <c r="Q46" s="9">
        <f>-Q18+Q42-Q43+Q45</f>
        <v>-691964.9320512649</v>
      </c>
      <c r="R46" s="9">
        <f>-R18+R42-R43+R45</f>
        <v>-717850.0590498005</v>
      </c>
      <c r="S46" s="9">
        <f>-S18+S42-S43+S45</f>
        <v>-834798.2684441593</v>
      </c>
    </row>
    <row r="47">
      <c r="A47" s="0" t="inlineStr">
        <is>
          <t xml:space="preserve">Utility's avoided cost</t>
        </is>
      </c>
      <c r="B47" s="0" t="inlineStr">
        <is>
          <t xml:space="preserve">$ a year</t>
        </is>
      </c>
      <c r="C47" s="3">
        <f>(C30-C36)*C25+C8*C10*C27*C26</f>
        <v>19614.6</v>
      </c>
      <c r="D47" s="3">
        <f>(D30-D36)*D25+D8*D10*D27*D26</f>
        <v>19614.6</v>
      </c>
      <c r="E47" s="3">
        <f>(E30-E36)*E25+E8*E10*E27*E26</f>
        <v>19614.6</v>
      </c>
      <c r="F47" s="3">
        <f>(F30-F36)*F25+F8*F10*F27*F26</f>
        <v>19614.6</v>
      </c>
      <c r="G47" s="3">
        <f>(G30-G36)*G25+G8*G10*G27*G26</f>
        <v>19614.6</v>
      </c>
      <c r="H47" s="3">
        <f>(H30-H36)*H25+H8*H10*H27*H26</f>
        <v>19614.6</v>
      </c>
      <c r="I47" s="3">
        <f>(I30-I36)*I25+I8*I10*I27*I26</f>
        <v>19614.6</v>
      </c>
      <c r="J47" s="3">
        <f>(J30-J36)*J25+J8*J10*J27*J26</f>
        <v>19614.6</v>
      </c>
      <c r="K47" s="3">
        <f>(K30-K36)*K25+K8*K10*K27*K26</f>
        <v>19614.6</v>
      </c>
      <c r="L47" s="3">
        <f>(L30-L36)*L25+L8*L10*L27*L26</f>
        <v>18445.14</v>
      </c>
      <c r="M47" s="3">
        <f>(M30-M36)*M25+M8*M10*M27*M26</f>
        <v>20784.059999999998</v>
      </c>
      <c r="N47" s="3">
        <f>(N30-N36)*N25+N8*N10*N27*N26</f>
        <v>19614.6</v>
      </c>
      <c r="O47" s="3">
        <f>(O30-O36)*O25+O8*O10*O27*O26</f>
        <v>19614.6</v>
      </c>
      <c r="P47" s="3">
        <f>(P30-P36)*P25+P8*P10*P27*P26</f>
        <v>15564.6</v>
      </c>
      <c r="Q47" s="3">
        <f>(Q30-Q36)*Q25+Q8*Q10*Q27*Q26</f>
        <v>23664.6</v>
      </c>
      <c r="R47" s="3">
        <f>(R30-R36)*R25+R8*R10*R27*R26</f>
        <v>19614.6</v>
      </c>
      <c r="S47" s="3">
        <f>(S30-S36)*S25+S8*S10*S27*S26</f>
        <v>19614.6</v>
      </c>
    </row>
    <row r="48">
      <c r="A48" s="0" t="inlineStr">
        <is>
          <t xml:space="preserve">Cost shift to the utility's other customers</t>
        </is>
      </c>
      <c r="B48" s="0" t="inlineStr">
        <is>
          <t xml:space="preserve">$ a year</t>
        </is>
      </c>
      <c r="C48" s="3">
        <f>C38-C47</f>
        <v>12350.500500000006</v>
      </c>
      <c r="D48" s="3">
        <f>D38-D47</f>
        <v>12350.500500000006</v>
      </c>
      <c r="E48" s="3">
        <f>E38-E47</f>
        <v>12350.500500000006</v>
      </c>
      <c r="F48" s="3">
        <f>F38-F47</f>
        <v>13823.260500000011</v>
      </c>
      <c r="G48" s="3">
        <f>G38-G47</f>
        <v>9404.980500000001</v>
      </c>
      <c r="H48" s="3">
        <f>H38-H47</f>
        <v>5953.106400000001</v>
      </c>
      <c r="I48" s="3">
        <f>I38-I47</f>
        <v>18747.894600000007</v>
      </c>
      <c r="J48" s="3">
        <f>J38-J47</f>
        <v>12350.500500000006</v>
      </c>
      <c r="K48" s="3">
        <f>K38-K47</f>
        <v>12350.500500000006</v>
      </c>
      <c r="L48" s="3">
        <f>L38-L47</f>
        <v>11365.230450000006</v>
      </c>
      <c r="M48" s="3">
        <f>M38-M47</f>
        <v>13335.770550000008</v>
      </c>
      <c r="N48" s="3">
        <f>N38-N47</f>
        <v>10379.9604</v>
      </c>
      <c r="O48" s="3">
        <f>O38-O47</f>
        <v>14321.040600000008</v>
      </c>
      <c r="P48" s="3">
        <f>P38-P47</f>
        <v>11000.500500000004</v>
      </c>
      <c r="Q48" s="3">
        <f>Q38-Q47</f>
        <v>13700.50050000001</v>
      </c>
      <c r="R48" s="3">
        <f>R38-R47</f>
        <v>12350.500500000006</v>
      </c>
      <c r="S48" s="3">
        <f>S38-S47</f>
        <v>12350.500500000006</v>
      </c>
    </row>
    <row r="49">
      <c r="A49" s="0" t="inlineStr">
        <is>
          <t xml:space="preserve">Net present value to the other customers</t>
        </is>
      </c>
      <c r="B49" s="0" t="inlineStr">
        <is>
          <t xml:space="preserve">$</t>
        </is>
      </c>
      <c r="C49" s="3">
        <f>-C48*C41</f>
        <v>-192940.5061551005</v>
      </c>
      <c r="D49" s="3">
        <f>-D48*D41</f>
        <v>-192940.5061551005</v>
      </c>
      <c r="E49" s="3">
        <f>-E48*E41</f>
        <v>-192940.5061551005</v>
      </c>
      <c r="F49" s="3">
        <f>-F48*F41</f>
        <v>-215948.0806129119</v>
      </c>
      <c r="G49" s="3">
        <f>-G48*G41</f>
        <v>-146925.35723947783</v>
      </c>
      <c r="H49" s="3">
        <f>-H48*H41</f>
        <v>-92999.90409385982</v>
      </c>
      <c r="I49" s="3">
        <f>-I48*I41</f>
        <v>-292881.1082163411</v>
      </c>
      <c r="J49" s="3">
        <f>-J48*J41</f>
        <v>-241124.4589387529</v>
      </c>
      <c r="K49" s="3">
        <f>-K48*K41</f>
        <v>-143927.58486981425</v>
      </c>
      <c r="L49" s="3">
        <f>-L48*L41</f>
        <v>-177548.5386679156</v>
      </c>
      <c r="M49" s="3">
        <f>-M48*M41</f>
        <v>-208332.47364228548</v>
      </c>
      <c r="N49" s="3">
        <f>-N48*N41</f>
        <v>-162156.5711807306</v>
      </c>
      <c r="O49" s="3">
        <f>-O48*O41</f>
        <v>-223724.4411294704</v>
      </c>
      <c r="P49" s="3">
        <f>-P48*P41</f>
        <v>-171850.69823117176</v>
      </c>
      <c r="Q49" s="3">
        <f>-Q48*Q41</f>
        <v>-214030.31407902928</v>
      </c>
      <c r="R49" s="3">
        <f>-R48*R41</f>
        <v>-192940.5061551005</v>
      </c>
      <c r="S49" s="3">
        <f>-S48*S41</f>
        <v>-192940.5061551005</v>
      </c>
    </row>
    <row r="50">
      <c r="A50" s="0" t="inlineStr">
        <is>
          <t xml:space="preserve">Net present value, resource view (all parties)</t>
        </is>
      </c>
      <c r="B50" s="0" t="inlineStr">
        <is>
          <t xml:space="preserve">$</t>
        </is>
      </c>
      <c r="C50" s="3">
        <f>-C18-C39*C41-C43+C45+C47*C41</f>
        <v>-969264.6699020807</v>
      </c>
      <c r="D50" s="3">
        <f>-D18-D39*D41-D43+D45+D47*D41</f>
        <v>-752753.079060381</v>
      </c>
      <c r="E50" s="3">
        <f>-E18-E39*E41-E43+E45+E47*E41</f>
        <v>-1185776.26074378</v>
      </c>
      <c r="F50" s="3">
        <f>-F18-F39*F41-F43+F45+F47*F41</f>
        <v>-969264.6699020807</v>
      </c>
      <c r="G50" s="3">
        <f>-G18-G39*G41-G43+G45+G47*G41</f>
        <v>-969264.6699020807</v>
      </c>
      <c r="H50" s="3">
        <f>-H18-H39*H41-H43+H45+H47*H41</f>
        <v>-969264.6699020807</v>
      </c>
      <c r="I50" s="3">
        <f>-I18-I39*I41-I43+I45+I47*I41</f>
        <v>-969264.6699020807</v>
      </c>
      <c r="J50" s="3">
        <f>-J18-J39*J41-J43+J45+J47*J41</f>
        <v>-995928.2605316861</v>
      </c>
      <c r="K50" s="3">
        <f>-K18-K39*K41-K43+K45+K47*K41</f>
        <v>-934912.9244297019</v>
      </c>
      <c r="L50" s="3">
        <f>-L18-L39*L41-L43+L45+L47*L41</f>
        <v>-987534.0675129825</v>
      </c>
      <c r="M50" s="3">
        <f>-M18-M39*M41-M43+M45+M47*M41</f>
        <v>-950995.2722911786</v>
      </c>
      <c r="N50" s="3">
        <f>-N18-N39*N41-N43+N45+N47*N41</f>
        <v>-969264.6699020807</v>
      </c>
      <c r="O50" s="3">
        <f>-O18-O39*O41-O43+O45+O47*O41</f>
        <v>-969264.6699020807</v>
      </c>
      <c r="P50" s="3">
        <f>-P18-P39*P41-P43+P45+P47*P41</f>
        <v>-1032534.0936738667</v>
      </c>
      <c r="Q50" s="3">
        <f>-Q18-Q39*Q41-Q43+Q45+Q47*Q41</f>
        <v>-905995.2461302944</v>
      </c>
      <c r="R50" s="3">
        <f>-R18-R39*R41-R43+R45+R47*R41</f>
        <v>-910790.5652049012</v>
      </c>
      <c r="S50" s="3">
        <f>-S18-S39*S41-S43+S45+S47*S41</f>
        <v>-1027738.77459926</v>
      </c>
    </row>
    <row r="51">
      <c r="A51" s="0" t="inlineStr">
        <is>
          <t xml:space="preserve">Check: school + other customers - resource view (should be 0)</t>
        </is>
      </c>
      <c r="B51" s="0" t="inlineStr">
        <is>
          <t xml:space="preserve">$</t>
        </is>
      </c>
      <c r="C51" s="3">
        <f>C46+C49-C50</f>
        <v>1.1641532182693481e-10</v>
      </c>
      <c r="D51" s="3">
        <f>D46+D49-D50</f>
        <v>1.1641532182693481e-10</v>
      </c>
      <c r="E51" s="3">
        <f>E46+E49-E50</f>
        <v>2.3283064365386963e-10</v>
      </c>
      <c r="F51" s="3">
        <f>F46+F49-F50</f>
        <v>2.3283064365386963e-10</v>
      </c>
      <c r="G51" s="3">
        <f>G46+G49-G50</f>
        <v>2.3283064365386963e-10</v>
      </c>
      <c r="H51" s="3">
        <f>H46+H49-H50</f>
        <v>1.1641532182693481e-10</v>
      </c>
      <c r="I51" s="3">
        <f>I46+I49-I50</f>
        <v>2.3283064365386963e-10</v>
      </c>
      <c r="J51" s="3">
        <f>J46+J49-J50</f>
        <v>0.0</v>
      </c>
      <c r="K51" s="3">
        <f>K46+K49-K50</f>
        <v>-1.1641532182693481e-10</v>
      </c>
      <c r="L51" s="3">
        <f>L46+L49-L50</f>
        <v>0.0</v>
      </c>
      <c r="M51" s="3">
        <f>M46+M49-M50</f>
        <v>2.3283064365386963e-10</v>
      </c>
      <c r="N51" s="3">
        <f>N46+N49-N50</f>
        <v>2.3283064365386963e-10</v>
      </c>
      <c r="O51" s="3">
        <f>O46+O49-O50</f>
        <v>1.1641532182693481e-10</v>
      </c>
      <c r="P51" s="3">
        <f>P46+P49-P50</f>
        <v>0.0</v>
      </c>
      <c r="Q51" s="3">
        <f>Q46+Q49-Q50</f>
        <v>2.3283064365386963e-10</v>
      </c>
      <c r="R51" s="3">
        <f>R46+R49-R50</f>
        <v>1.1641532182693481e-10</v>
      </c>
      <c r="S51" s="3">
        <f>S46+S49-S50</f>
        <v>1.1641532182693481e-10</v>
      </c>
    </row>
  </sheetData>
</worksheet>
</file>

<file path=xl/worksheets/sheet4.xml><?xml version="1.0" encoding="utf-8"?>
<worksheet xmlns="http://schemas.openxmlformats.org/spreadsheetml/2006/main">
  <sheetViews>
    <sheetView workbookViewId="0"/>
  </sheetViews>
  <sheetFormatPr defaultRowHeight="15"/>
  <cols>
    <col min="1" max="1" width="8" customWidth="1"/>
    <col min="2" max="2" width="16" customWidth="1"/>
    <col min="3" max="3" width="16" customWidth="1"/>
    <col min="4" max="4" width="14" customWidth="1"/>
    <col min="5" max="5" width="14" customWidth="1"/>
    <col min="6" max="6" width="16" customWidth="1"/>
    <col min="7" max="7" width="12" customWidth="1"/>
    <col min="8" max="8" width="16" customWidth="1"/>
    <col min="9" max="9" width="18" customWidth="1"/>
  </cols>
  <sheetData>
    <row r="1">
      <c r="A1" s="2" t="inlineStr">
        <is>
          <t xml:space="preserve">Cash flow, base case, year by year (2025 dollars, real)</t>
        </is>
      </c>
    </row>
    <row r="2">
      <c r="A2" s="10" t="inlineStr">
        <is>
          <t xml:space="preserve">Checks the Model's closed form: the sum of present values equals Model!C46.</t>
        </is>
      </c>
    </row>
    <row r="4">
      <c r="A4" s="1" t="inlineStr">
        <is>
          <t xml:space="preserve">Year</t>
        </is>
      </c>
      <c r="B4" s="1" t="inlineStr">
        <is>
          <t xml:space="preserve">Capital and replacement</t>
        </is>
      </c>
      <c r="C4" s="1" t="inlineStr">
        <is>
          <t xml:space="preserve">Bill saving</t>
        </is>
      </c>
      <c r="D4" s="1" t="inlineStr">
        <is>
          <t xml:space="preserve">Upkeep</t>
        </is>
      </c>
      <c r="E4" s="1" t="inlineStr">
        <is>
          <t xml:space="preserve">Residual value</t>
        </is>
      </c>
      <c r="F4" s="1" t="inlineStr">
        <is>
          <t xml:space="preserve">Net cash flow</t>
        </is>
      </c>
      <c r="G4" s="1" t="inlineStr">
        <is>
          <t xml:space="preserve">Discount factor</t>
        </is>
      </c>
      <c r="H4" s="1" t="inlineStr">
        <is>
          <t xml:space="preserve">Present value</t>
        </is>
      </c>
      <c r="I4" s="1" t="inlineStr">
        <is>
          <t xml:space="preserve">Cumulative cash (not discounted)</t>
        </is>
      </c>
    </row>
    <row r="5">
      <c r="A5" s="5">
        <v>0</v>
      </c>
      <c r="B5" s="3">
        <f>-Model!C18</f>
        <v>-866046.3633667981</v>
      </c>
      <c r="C5" s="3">
        <v>0</v>
      </c>
      <c r="D5" s="3">
        <v>0</v>
      </c>
      <c r="E5" s="3">
        <v>0</v>
      </c>
      <c r="F5" s="3">
        <f>B5+C5+D5+E5</f>
        <v>-866046.3633667981</v>
      </c>
      <c r="G5" s="6">
        <f>(1+Model!$C$22)^-A5</f>
        <v>1.0</v>
      </c>
      <c r="H5" s="3">
        <f>F5*G5</f>
        <v>-866046.3633667981</v>
      </c>
      <c r="I5" s="3">
        <f>F5</f>
        <v>-866046.3633667981</v>
      </c>
    </row>
    <row r="6">
      <c r="A6" s="5">
        <v>1</v>
      </c>
      <c r="B6" s="3">
        <v>0</v>
      </c>
      <c r="C6" s="3">
        <f>Model!$C$38</f>
        <v>31965.100500000004</v>
      </c>
      <c r="D6" s="3">
        <f>-Model!$C$39</f>
        <v>-14972.168855388372</v>
      </c>
      <c r="E6" s="3">
        <v>0</v>
      </c>
      <c r="F6" s="3">
        <f>B6+C6+D6+E6</f>
        <v>16992.93164461163</v>
      </c>
      <c r="G6" s="6">
        <f>(1+Model!$C$22)^-A6</f>
        <v>0.9615384615384615</v>
      </c>
      <c r="H6" s="3">
        <f>F6*G6</f>
        <v>16339.357350588107</v>
      </c>
      <c r="I6" s="3">
        <f>I5+F6</f>
        <v>-849053.4317221865</v>
      </c>
    </row>
    <row r="7">
      <c r="A7" s="5">
        <v>2</v>
      </c>
      <c r="B7" s="3">
        <v>0</v>
      </c>
      <c r="C7" s="3">
        <f>Model!$C$38</f>
        <v>31965.100500000004</v>
      </c>
      <c r="D7" s="3">
        <f>-Model!$C$39</f>
        <v>-14972.168855388372</v>
      </c>
      <c r="E7" s="3">
        <v>0</v>
      </c>
      <c r="F7" s="3">
        <f>B7+C7+D7+E7</f>
        <v>16992.93164461163</v>
      </c>
      <c r="G7" s="6">
        <f>(1+Model!$C$22)^-A7</f>
        <v>0.9245562130177514</v>
      </c>
      <c r="H7" s="3">
        <f>F7*G7</f>
        <v>15710.92052941164</v>
      </c>
      <c r="I7" s="3">
        <f>I6+F7</f>
        <v>-832060.5000775749</v>
      </c>
    </row>
    <row r="8">
      <c r="A8" s="5">
        <v>3</v>
      </c>
      <c r="B8" s="3">
        <v>0</v>
      </c>
      <c r="C8" s="3">
        <f>Model!$C$38</f>
        <v>31965.100500000004</v>
      </c>
      <c r="D8" s="3">
        <f>-Model!$C$39</f>
        <v>-14972.168855388372</v>
      </c>
      <c r="E8" s="3">
        <v>0</v>
      </c>
      <c r="F8" s="3">
        <f>B8+C8+D8+E8</f>
        <v>16992.93164461163</v>
      </c>
      <c r="G8" s="6">
        <f>(1+Model!$C$22)^-A8</f>
        <v>0.8889963586709148</v>
      </c>
      <c r="H8" s="3">
        <f>F8*G8</f>
        <v>15106.6543552035</v>
      </c>
      <c r="I8" s="3">
        <f>I7+F8</f>
        <v>-815067.5684329632</v>
      </c>
    </row>
    <row r="9">
      <c r="A9" s="5">
        <v>4</v>
      </c>
      <c r="B9" s="3">
        <v>0</v>
      </c>
      <c r="C9" s="3">
        <f>Model!$C$38</f>
        <v>31965.100500000004</v>
      </c>
      <c r="D9" s="3">
        <f>-Model!$C$39</f>
        <v>-14972.168855388372</v>
      </c>
      <c r="E9" s="3">
        <v>0</v>
      </c>
      <c r="F9" s="3">
        <f>B9+C9+D9+E9</f>
        <v>16992.93164461163</v>
      </c>
      <c r="G9" s="6">
        <f>(1+Model!$C$22)^-A9</f>
        <v>0.8548041910297257</v>
      </c>
      <c r="H9" s="3">
        <f>F9*G9</f>
        <v>14525.629187695673</v>
      </c>
      <c r="I9" s="3">
        <f>I8+F9</f>
        <v>-798074.6367883516</v>
      </c>
    </row>
    <row r="10">
      <c r="A10" s="5">
        <v>5</v>
      </c>
      <c r="B10" s="3">
        <v>0</v>
      </c>
      <c r="C10" s="3">
        <f>Model!$C$38</f>
        <v>31965.100500000004</v>
      </c>
      <c r="D10" s="3">
        <f>-Model!$C$39</f>
        <v>-14972.168855388372</v>
      </c>
      <c r="E10" s="3">
        <v>0</v>
      </c>
      <c r="F10" s="3">
        <f>B10+C10+D10+E10</f>
        <v>16992.93164461163</v>
      </c>
      <c r="G10" s="6">
        <f>(1+Model!$C$22)^-A10</f>
        <v>0.8219271067593517</v>
      </c>
      <c r="H10" s="3">
        <f>F10*G10</f>
        <v>13966.95114201507</v>
      </c>
      <c r="I10" s="3">
        <f>I9+F10</f>
        <v>-781081.7051437399</v>
      </c>
    </row>
    <row r="11">
      <c r="A11" s="5">
        <v>6</v>
      </c>
      <c r="B11" s="3">
        <v>0</v>
      </c>
      <c r="C11" s="3">
        <f>Model!$C$38</f>
        <v>31965.100500000004</v>
      </c>
      <c r="D11" s="3">
        <f>-Model!$C$39</f>
        <v>-14972.168855388372</v>
      </c>
      <c r="E11" s="3">
        <v>0</v>
      </c>
      <c r="F11" s="3">
        <f>B11+C11+D11+E11</f>
        <v>16992.93164461163</v>
      </c>
      <c r="G11" s="6">
        <f>(1+Model!$C$22)^-A11</f>
        <v>0.7903145257301458</v>
      </c>
      <c r="H11" s="3">
        <f>F11*G11</f>
        <v>13429.76071347603</v>
      </c>
      <c r="I11" s="3">
        <f>I10+F11</f>
        <v>-764088.7734991283</v>
      </c>
    </row>
    <row r="12">
      <c r="A12" s="5">
        <v>7</v>
      </c>
      <c r="B12" s="3">
        <v>0</v>
      </c>
      <c r="C12" s="3">
        <f>Model!$C$38</f>
        <v>31965.100500000004</v>
      </c>
      <c r="D12" s="3">
        <f>-Model!$C$39</f>
        <v>-14972.168855388372</v>
      </c>
      <c r="E12" s="3">
        <v>0</v>
      </c>
      <c r="F12" s="3">
        <f>B12+C12+D12+E12</f>
        <v>16992.93164461163</v>
      </c>
      <c r="G12" s="6">
        <f>(1+Model!$C$22)^-A12</f>
        <v>0.7599178132020632</v>
      </c>
      <c r="H12" s="3">
        <f>F12*G12</f>
        <v>12913.23145526541</v>
      </c>
      <c r="I12" s="3">
        <f>I11+F12</f>
        <v>-747095.8418545166</v>
      </c>
    </row>
    <row r="13">
      <c r="A13" s="5">
        <v>8</v>
      </c>
      <c r="B13" s="3">
        <v>0</v>
      </c>
      <c r="C13" s="3">
        <f>Model!$C$38</f>
        <v>31965.100500000004</v>
      </c>
      <c r="D13" s="3">
        <f>-Model!$C$39</f>
        <v>-14972.168855388372</v>
      </c>
      <c r="E13" s="3">
        <v>0</v>
      </c>
      <c r="F13" s="3">
        <f>B13+C13+D13+E13</f>
        <v>16992.93164461163</v>
      </c>
      <c r="G13" s="6">
        <f>(1+Model!$C$22)^-A13</f>
        <v>0.7306902050019839</v>
      </c>
      <c r="H13" s="3">
        <f>F13*G13</f>
        <v>12416.568706985972</v>
      </c>
      <c r="I13" s="3">
        <f>I12+F13</f>
        <v>-730102.910209905</v>
      </c>
    </row>
    <row r="14">
      <c r="A14" s="5">
        <v>9</v>
      </c>
      <c r="B14" s="3">
        <v>0</v>
      </c>
      <c r="C14" s="3">
        <f>Model!$C$38</f>
        <v>31965.100500000004</v>
      </c>
      <c r="D14" s="3">
        <f>-Model!$C$39</f>
        <v>-14972.168855388372</v>
      </c>
      <c r="E14" s="3">
        <v>0</v>
      </c>
      <c r="F14" s="3">
        <f>B14+C14+D14+E14</f>
        <v>16992.93164461163</v>
      </c>
      <c r="G14" s="6">
        <f>(1+Model!$C$22)^-A14</f>
        <v>0.7025867355788306</v>
      </c>
      <c r="H14" s="3">
        <f>F14*G14</f>
        <v>11939.008372101895</v>
      </c>
      <c r="I14" s="3">
        <f>I13+F14</f>
        <v>-713109.9785652934</v>
      </c>
    </row>
    <row r="15">
      <c r="A15" s="5">
        <v>10</v>
      </c>
      <c r="B15" s="3">
        <v>0</v>
      </c>
      <c r="C15" s="3">
        <f>Model!$C$38</f>
        <v>31965.100500000004</v>
      </c>
      <c r="D15" s="3">
        <f>-Model!$C$39</f>
        <v>-14972.168855388372</v>
      </c>
      <c r="E15" s="3">
        <v>0</v>
      </c>
      <c r="F15" s="3">
        <f>B15+C15+D15+E15</f>
        <v>16992.93164461163</v>
      </c>
      <c r="G15" s="6">
        <f>(1+Model!$C$22)^-A15</f>
        <v>0.6755641688257986</v>
      </c>
      <c r="H15" s="3">
        <f>F15*G15</f>
        <v>11479.815742405668</v>
      </c>
      <c r="I15" s="3">
        <f>I14+F15</f>
        <v>-696117.0469206817</v>
      </c>
    </row>
    <row r="16">
      <c r="A16" s="5">
        <v>11</v>
      </c>
      <c r="B16" s="3">
        <v>0</v>
      </c>
      <c r="C16" s="3">
        <f>Model!$C$38</f>
        <v>31965.100500000004</v>
      </c>
      <c r="D16" s="3">
        <f>-Model!$C$39</f>
        <v>-14972.168855388372</v>
      </c>
      <c r="E16" s="3">
        <v>0</v>
      </c>
      <c r="F16" s="3">
        <f>B16+C16+D16+E16</f>
        <v>16992.93164461163</v>
      </c>
      <c r="G16" s="6">
        <f>(1+Model!$C$22)^-A16</f>
        <v>0.6495809315632679</v>
      </c>
      <c r="H16" s="3">
        <f>F16*G16</f>
        <v>11038.284367697757</v>
      </c>
      <c r="I16" s="3">
        <f>I15+F16</f>
        <v>-679124.1152760701</v>
      </c>
    </row>
    <row r="17">
      <c r="A17" s="5">
        <v>12</v>
      </c>
      <c r="B17" s="3">
        <v>0</v>
      </c>
      <c r="C17" s="3">
        <f>Model!$C$38</f>
        <v>31965.100500000004</v>
      </c>
      <c r="D17" s="3">
        <f>-Model!$C$39</f>
        <v>-14972.168855388372</v>
      </c>
      <c r="E17" s="3">
        <v>0</v>
      </c>
      <c r="F17" s="3">
        <f>B17+C17+D17+E17</f>
        <v>16992.93164461163</v>
      </c>
      <c r="G17" s="6">
        <f>(1+Model!$C$22)^-A17</f>
        <v>0.6245970495800652</v>
      </c>
      <c r="H17" s="3">
        <f>F17*G17</f>
        <v>10613.73496894015</v>
      </c>
      <c r="I17" s="3">
        <f>I16+F17</f>
        <v>-662131.1836314584</v>
      </c>
    </row>
    <row r="18">
      <c r="A18" s="5">
        <v>13</v>
      </c>
      <c r="B18" s="3">
        <v>0</v>
      </c>
      <c r="C18" s="3">
        <f>Model!$C$38</f>
        <v>31965.100500000004</v>
      </c>
      <c r="D18" s="3">
        <f>-Model!$C$39</f>
        <v>-14972.168855388372</v>
      </c>
      <c r="E18" s="3">
        <v>0</v>
      </c>
      <c r="F18" s="3">
        <f>B18+C18+D18+E18</f>
        <v>16992.93164461163</v>
      </c>
      <c r="G18" s="6">
        <f>(1+Model!$C$22)^-A18</f>
        <v>0.6005740861346781</v>
      </c>
      <c r="H18" s="3">
        <f>F18*G18</f>
        <v>10205.514393211684</v>
      </c>
      <c r="I18" s="3">
        <f>I17+F18</f>
        <v>-645138.2519868468</v>
      </c>
    </row>
    <row r="19">
      <c r="A19" s="5">
        <v>14</v>
      </c>
      <c r="B19" s="3">
        <v>0</v>
      </c>
      <c r="C19" s="3">
        <f>Model!$C$38</f>
        <v>31965.100500000004</v>
      </c>
      <c r="D19" s="3">
        <f>-Model!$C$39</f>
        <v>-14972.168855388372</v>
      </c>
      <c r="E19" s="3">
        <v>0</v>
      </c>
      <c r="F19" s="3">
        <f>B19+C19+D19+E19</f>
        <v>16992.93164461163</v>
      </c>
      <c r="G19" s="6">
        <f>(1+Model!$C$22)^-A19</f>
        <v>0.5774750828218058</v>
      </c>
      <c r="H19" s="3">
        <f>F19*G19</f>
        <v>9812.994608857387</v>
      </c>
      <c r="I19" s="3">
        <f>I18+F19</f>
        <v>-628145.3203422352</v>
      </c>
    </row>
    <row r="20">
      <c r="A20" s="5">
        <v>15</v>
      </c>
      <c r="B20" s="3">
        <f>-Model!C19</f>
        <v>-408489.7547337655</v>
      </c>
      <c r="C20" s="3">
        <f>Model!$C$38</f>
        <v>31965.100500000004</v>
      </c>
      <c r="D20" s="3">
        <f>-Model!$C$39</f>
        <v>-14972.168855388372</v>
      </c>
      <c r="E20" s="3">
        <v>0</v>
      </c>
      <c r="F20" s="3">
        <f>B20+C20+D20+E20</f>
        <v>-391496.82308915386</v>
      </c>
      <c r="G20" s="6">
        <f>(1+Model!$C$22)^-A20</f>
        <v>0.5552645027132749</v>
      </c>
      <c r="H20" s="3">
        <f>F20*G20</f>
        <v>-217384.28878642595</v>
      </c>
      <c r="I20" s="3">
        <f>I19+F20</f>
        <v>-1019642.143431389</v>
      </c>
    </row>
    <row r="21">
      <c r="A21" s="5">
        <v>16</v>
      </c>
      <c r="B21" s="3">
        <v>0</v>
      </c>
      <c r="C21" s="3">
        <f>Model!$C$38</f>
        <v>31965.100500000004</v>
      </c>
      <c r="D21" s="3">
        <f>-Model!$C$39</f>
        <v>-14972.168855388372</v>
      </c>
      <c r="E21" s="3">
        <v>0</v>
      </c>
      <c r="F21" s="3">
        <f>B21+C21+D21+E21</f>
        <v>16992.93164461163</v>
      </c>
      <c r="G21" s="6">
        <f>(1+Model!$C$22)^-A21</f>
        <v>0.5339081756858411</v>
      </c>
      <c r="H21" s="3">
        <f>F21*G21</f>
        <v>9072.665133928796</v>
      </c>
      <c r="I21" s="3">
        <f>I20+F21</f>
        <v>-1002649.2117867774</v>
      </c>
    </row>
    <row r="22">
      <c r="A22" s="5">
        <v>17</v>
      </c>
      <c r="B22" s="3">
        <v>0</v>
      </c>
      <c r="C22" s="3">
        <f>Model!$C$38</f>
        <v>31965.100500000004</v>
      </c>
      <c r="D22" s="3">
        <f>-Model!$C$39</f>
        <v>-14972.168855388372</v>
      </c>
      <c r="E22" s="3">
        <v>0</v>
      </c>
      <c r="F22" s="3">
        <f>B22+C22+D22+E22</f>
        <v>16992.93164461163</v>
      </c>
      <c r="G22" s="6">
        <f>(1+Model!$C$22)^-A22</f>
        <v>0.5133732458517704</v>
      </c>
      <c r="H22" s="3">
        <f>F22*G22</f>
        <v>8723.716474931536</v>
      </c>
      <c r="I22" s="3">
        <f>I21+F22</f>
        <v>-985656.2801421657</v>
      </c>
    </row>
    <row r="23">
      <c r="A23" s="5">
        <v>18</v>
      </c>
      <c r="B23" s="3">
        <v>0</v>
      </c>
      <c r="C23" s="3">
        <f>Model!$C$38</f>
        <v>31965.100500000004</v>
      </c>
      <c r="D23" s="3">
        <f>-Model!$C$39</f>
        <v>-14972.168855388372</v>
      </c>
      <c r="E23" s="3">
        <v>0</v>
      </c>
      <c r="F23" s="3">
        <f>B23+C23+D23+E23</f>
        <v>16992.93164461163</v>
      </c>
      <c r="G23" s="6">
        <f>(1+Model!$C$22)^-A23</f>
        <v>0.49362812101131764</v>
      </c>
      <c r="H23" s="3">
        <f>F23*G23</f>
        <v>8388.1889182034</v>
      </c>
      <c r="I23" s="3">
        <f>I22+F23</f>
        <v>-968663.3484975541</v>
      </c>
    </row>
    <row r="24">
      <c r="A24" s="5">
        <v>19</v>
      </c>
      <c r="B24" s="3">
        <v>0</v>
      </c>
      <c r="C24" s="3">
        <f>Model!$C$38</f>
        <v>31965.100500000004</v>
      </c>
      <c r="D24" s="3">
        <f>-Model!$C$39</f>
        <v>-14972.168855388372</v>
      </c>
      <c r="E24" s="3">
        <v>0</v>
      </c>
      <c r="F24" s="3">
        <f>B24+C24+D24+E24</f>
        <v>16992.93164461163</v>
      </c>
      <c r="G24" s="6">
        <f>(1+Model!$C$22)^-A24</f>
        <v>0.47464242404934387</v>
      </c>
      <c r="H24" s="3">
        <f>F24*G24</f>
        <v>8065.566267503268</v>
      </c>
      <c r="I24" s="3">
        <f>I23+F24</f>
        <v>-951670.4168529424</v>
      </c>
    </row>
    <row r="25">
      <c r="A25" s="5">
        <v>20</v>
      </c>
      <c r="B25" s="3">
        <v>0</v>
      </c>
      <c r="C25" s="3">
        <f>Model!$C$38</f>
        <v>31965.100500000004</v>
      </c>
      <c r="D25" s="3">
        <f>-Model!$C$39</f>
        <v>-14972.168855388372</v>
      </c>
      <c r="E25" s="3">
        <v>0</v>
      </c>
      <c r="F25" s="3">
        <f>B25+C25+D25+E25</f>
        <v>16992.93164461163</v>
      </c>
      <c r="G25" s="6">
        <f>(1+Model!$C$22)^-A25</f>
        <v>0.45638694620129217</v>
      </c>
      <c r="H25" s="3">
        <f>F25*G25</f>
        <v>7755.352180291604</v>
      </c>
      <c r="I25" s="3">
        <f>I24+F25</f>
        <v>-934677.4852083308</v>
      </c>
    </row>
    <row r="26">
      <c r="A26" s="5">
        <v>21</v>
      </c>
      <c r="B26" s="3">
        <v>0</v>
      </c>
      <c r="C26" s="3">
        <f>Model!$C$38</f>
        <v>31965.100500000004</v>
      </c>
      <c r="D26" s="3">
        <f>-Model!$C$39</f>
        <v>-14972.168855388372</v>
      </c>
      <c r="E26" s="3">
        <v>0</v>
      </c>
      <c r="F26" s="3">
        <f>B26+C26+D26+E26</f>
        <v>16992.93164461163</v>
      </c>
      <c r="G26" s="6">
        <f>(1+Model!$C$22)^-A26</f>
        <v>0.43883360211662703</v>
      </c>
      <c r="H26" s="3">
        <f>F26*G26</f>
        <v>7457.0694041265415</v>
      </c>
      <c r="I26" s="3">
        <f>I25+F26</f>
        <v>-917684.5535637191</v>
      </c>
    </row>
    <row r="27">
      <c r="A27" s="5">
        <v>22</v>
      </c>
      <c r="B27" s="3">
        <v>0</v>
      </c>
      <c r="C27" s="3">
        <f>Model!$C$38</f>
        <v>31965.100500000004</v>
      </c>
      <c r="D27" s="3">
        <f>-Model!$C$39</f>
        <v>-14972.168855388372</v>
      </c>
      <c r="E27" s="3">
        <v>0</v>
      </c>
      <c r="F27" s="3">
        <f>B27+C27+D27+E27</f>
        <v>16992.93164461163</v>
      </c>
      <c r="G27" s="6">
        <f>(1+Model!$C$22)^-A27</f>
        <v>0.4219553866506029</v>
      </c>
      <c r="H27" s="3">
        <f>F27*G27</f>
        <v>7170.259042429367</v>
      </c>
      <c r="I27" s="3">
        <f>I26+F27</f>
        <v>-900691.6219191075</v>
      </c>
    </row>
    <row r="28">
      <c r="A28" s="5">
        <v>23</v>
      </c>
      <c r="B28" s="3">
        <v>0</v>
      </c>
      <c r="C28" s="3">
        <f>Model!$C$38</f>
        <v>31965.100500000004</v>
      </c>
      <c r="D28" s="3">
        <f>-Model!$C$39</f>
        <v>-14972.168855388372</v>
      </c>
      <c r="E28" s="3">
        <v>0</v>
      </c>
      <c r="F28" s="3">
        <f>B28+C28+D28+E28</f>
        <v>16992.93164461163</v>
      </c>
      <c r="G28" s="6">
        <f>(1+Model!$C$22)^-A28</f>
        <v>0.40572633331788743</v>
      </c>
      <c r="H28" s="3">
        <f>F28*G28</f>
        <v>6894.479848489776</v>
      </c>
      <c r="I28" s="3">
        <f>I27+F28</f>
        <v>-883698.6902744959</v>
      </c>
    </row>
    <row r="29">
      <c r="A29" s="5">
        <v>24</v>
      </c>
      <c r="B29" s="3">
        <v>0</v>
      </c>
      <c r="C29" s="3">
        <f>Model!$C$38</f>
        <v>31965.100500000004</v>
      </c>
      <c r="D29" s="3">
        <f>-Model!$C$39</f>
        <v>-14972.168855388372</v>
      </c>
      <c r="E29" s="3">
        <v>0</v>
      </c>
      <c r="F29" s="3">
        <f>B29+C29+D29+E29</f>
        <v>16992.93164461163</v>
      </c>
      <c r="G29" s="6">
        <f>(1+Model!$C$22)^-A29</f>
        <v>0.3901214743441225</v>
      </c>
      <c r="H29" s="3">
        <f>F29*G29</f>
        <v>6629.307546624784</v>
      </c>
      <c r="I29" s="3">
        <f>I28+F29</f>
        <v>-866705.7586298842</v>
      </c>
    </row>
    <row r="30">
      <c r="A30" s="5">
        <v>25</v>
      </c>
      <c r="B30" s="3">
        <v>0</v>
      </c>
      <c r="C30" s="3">
        <f>Model!$C$38</f>
        <v>31965.100500000004</v>
      </c>
      <c r="D30" s="3">
        <f>-Model!$C$39</f>
        <v>-14972.168855388372</v>
      </c>
      <c r="E30" s="3">
        <f>Model!C44</f>
        <v>136163.25157792182</v>
      </c>
      <c r="F30" s="3">
        <f>B30+C30+D30+E30</f>
        <v>153156.18322253347</v>
      </c>
      <c r="G30" s="6">
        <f>(1+Model!$C$22)^-A30</f>
        <v>0.37511680225396393</v>
      </c>
      <c r="H30" s="3">
        <f>F30*G30</f>
        <v>57451.45769585895</v>
      </c>
      <c r="I30" s="3">
        <f>I29+F30</f>
        <v>-713549.5754073508</v>
      </c>
    </row>
    <row r="32">
      <c r="A32" s="11" t="inlineStr">
        <is>
          <t xml:space="preserve">Total present value</t>
        </is>
      </c>
      <c r="H32" s="9">
        <f>SUM(H5:H30)</f>
        <v>-776324.1637469801</v>
      </c>
    </row>
    <row r="33">
      <c r="A33" s="0" t="inlineStr">
        <is>
          <t xml:space="preserve">Check: total minus the Model's closed form (should be 0)</t>
        </is>
      </c>
      <c r="H33" s="3">
        <f>H32-Model!C46</f>
        <v>-1.1641532182693481e-10</v>
      </c>
    </row>
    <row r="34">
      <c r="A34" s="0" t="inlineStr">
        <is>
          <t xml:space="preserve">Lowest cumulative cash in 25 years</t>
        </is>
      </c>
      <c r="H34" s="3">
        <f>MIN(I5:I30)</f>
        <v>-1019642.143431389</v>
      </c>
    </row>
  </sheetData>
</worksheet>
</file>

<file path=xl/worksheets/sheet5.xml><?xml version="1.0" encoding="utf-8"?>
<worksheet xmlns="http://schemas.openxmlformats.org/spreadsheetml/2006/main">
  <sheetViews>
    <sheetView workbookViewId="0"/>
  </sheetViews>
  <sheetFormatPr defaultRowHeight="15"/>
  <cols>
    <col min="1" max="1" width="52" customWidth="1"/>
    <col min="2" max="2" width="18" customWidth="1"/>
    <col min="3" max="3" width="18" customWidth="1"/>
    <col min="4" max="4" width="70" customWidth="1"/>
  </cols>
  <sheetData>
    <row r="1">
      <c r="A1" s="2" t="inlineStr">
        <is>
          <t xml:space="preserve">Who pays and who benefits (screening estimates, 2025 dollars)</t>
        </is>
      </c>
    </row>
    <row r="2">
      <c r="A2" s="10" t="inlineStr">
        <is>
          <t xml:space="preserve">Each party's money, with transfers kept apart from real costs. The parties add up to the resource view: a transfer is one party's gain and another's loss.</t>
        </is>
      </c>
    </row>
    <row r="4">
      <c r="A4" s="1" t="inlineStr">
        <is>
          <t xml:space="preserve">Party</t>
        </is>
      </c>
      <c r="B4" s="1" t="inlineStr">
        <is>
          <t xml:space="preserve">A year</t>
        </is>
      </c>
      <c r="C4" s="1" t="inlineStr">
        <is>
          <t xml:space="preserve">Present value</t>
        </is>
      </c>
      <c r="D4" s="1" t="inlineStr">
        <is>
          <t xml:space="preserve">What it is</t>
        </is>
      </c>
    </row>
    <row r="5">
      <c r="A5" s="0" t="inlineStr">
        <is>
          <t xml:space="preserve">The school district (its budget and taxpayers)</t>
        </is>
      </c>
      <c r="B5" s="3">
        <f>Model!C40</f>
        <v>16992.93164461163</v>
      </c>
      <c r="C5" s="3">
        <f>Model!C46</f>
        <v>-776324.16374698</v>
      </c>
      <c r="D5" s="10" t="inlineStr">
        <is>
          <t xml:space="preserve">Pays the capital, upkeep and replacement; gets the gross bill saving.</t>
        </is>
      </c>
    </row>
    <row r="6">
      <c r="A6" s="0" t="inlineStr">
        <is>
          <t xml:space="preserve">The utility's other customers (once rates are reset)</t>
        </is>
      </c>
      <c r="B6" s="3">
        <f>-Model!C48</f>
        <v>-12350.500500000006</v>
      </c>
      <c r="C6" s="3">
        <f>Model!C49</f>
        <v>-192940.5061551005</v>
      </c>
      <c r="D6" s="10" t="inlineStr">
        <is>
          <t xml:space="preserve">The part of the school's bill saving the utility does not save in costs: a transfer, recovered from the others at the next rate reset, as the brief assumes (until then, and without that assumption, it stays with the utility).</t>
        </is>
      </c>
    </row>
    <row r="7">
      <c r="A7" s="0" t="inlineStr">
        <is>
          <t xml:space="preserve">Federal taxpayers</t>
        </is>
      </c>
      <c r="B7" s="3">
        <v>0</v>
      </c>
      <c r="C7" s="3">
        <v>0</v>
      </c>
      <c r="D7" s="10" t="inlineStr">
        <is>
          <t xml:space="preserve">No tax credit is counted (boundary). Tax-exempt and governmental entities can benefit from certain clean-energy credits through elective pay (IRS, reviewed 27 Jun 2026); if counted, it is a transfer from federal taxpayers to the school, not a lower resource cost.</t>
        </is>
      </c>
    </row>
    <row r="8">
      <c r="A8" s="11" t="inlineStr">
        <is>
          <t xml:space="preserve">Sum of the parties</t>
        </is>
      </c>
      <c r="C8" s="9">
        <f>SUM(C5:C7)</f>
        <v>-969264.6699020806</v>
      </c>
    </row>
    <row r="9">
      <c r="A9" s="11" t="inlineStr">
        <is>
          <t xml:space="preserve">Resource view (Model)</t>
        </is>
      </c>
      <c r="C9" s="9">
        <f>Model!C50</f>
        <v>-969264.6699020807</v>
      </c>
    </row>
    <row r="10">
      <c r="A10" s="0" t="inlineStr">
        <is>
          <t xml:space="preserve">Check: sum of the parties minus the resource view (should be 0)</t>
        </is>
      </c>
      <c r="C10" s="3">
        <f>C8-C9</f>
        <v>1.1641532182693481e-10</v>
      </c>
    </row>
    <row r="12">
      <c r="A12" s="11" t="inlineStr">
        <is>
          <t xml:space="preserve">Gross against net, a year</t>
        </is>
      </c>
    </row>
    <row r="13">
      <c r="A13" s="0" t="inlineStr">
        <is>
          <t xml:space="preserve">The school's gross bill saving</t>
        </is>
      </c>
      <c r="B13" s="3">
        <f>Model!C38</f>
        <v>31965.100500000004</v>
      </c>
    </row>
    <row r="14">
      <c r="A14" s="0" t="inlineStr">
        <is>
          <t xml:space="preserve">of which a real cost saving (the utility's avoided cost)</t>
        </is>
      </c>
      <c r="B14" s="3">
        <f>Model!C47</f>
        <v>19614.6</v>
      </c>
    </row>
    <row r="15">
      <c r="A15" s="0" t="inlineStr">
        <is>
          <t xml:space="preserve">of which a transfer from the other customers</t>
        </is>
      </c>
      <c r="B15" s="3">
        <f>B13-B14</f>
        <v>12350.500500000006</v>
      </c>
    </row>
    <row r="17">
      <c r="A17" s="11" t="inlineStr">
        <is>
          <t xml:space="preserve">Not in money (stated, not valued)</t>
        </is>
      </c>
    </row>
    <row r="18">
      <c r="A18" s="0" t="inlineStr">
        <is>
          <t xml:space="preserve">CO2 avoided, tonnes a year (location-based average factor)</t>
        </is>
      </c>
      <c r="B18" s="5">
        <f>(Model!C30-Model!C36)/1000*AssumptionsLog!C39</f>
        <v>118.38651994831201</v>
      </c>
      <c r="D18" s="10" t="inlineStr">
        <is>
          <t xml:space="preserve">An average factor answers an inventory question; the change the project causes needs a marginal or consequential estimate (lesson A10).</t>
        </is>
      </c>
    </row>
    <row r="19">
      <c r="A19" s="0" t="inlineStr">
        <is>
          <t xml:space="preserve">Resilience: backup power in an outage</t>
        </is>
      </c>
      <c r="D19" s="10" t="inlineStr">
        <is>
          <t xml:space="preserve">Not counted: the system as costed has no islanding switch or critical-load panel.</t>
        </is>
      </c>
    </row>
    <row r="20">
      <c r="A20" s="0" t="inlineStr">
        <is>
          <t xml:space="preserve">Jobs: installation work</t>
        </is>
      </c>
      <c r="D20" s="10" t="inlineStr">
        <is>
          <t xml:space="preserve">Installation is job-years (temporary work), not permanent jobs; not estimated here (no sourced coefficient).</t>
        </is>
      </c>
    </row>
  </sheetData>
</worksheet>
</file>

<file path=xl/worksheets/sheet6.xml><?xml version="1.0" encoding="utf-8"?>
<worksheet xmlns="http://schemas.openxmlformats.org/spreadsheetml/2006/main">
  <sheetViews>
    <sheetView workbookViewId="0"/>
  </sheetViews>
  <sheetFormatPr defaultRowHeight="15"/>
  <cols>
    <col min="1" max="1" width="36" customWidth="1"/>
    <col min="2" max="2" width="16" customWidth="1"/>
    <col min="3" max="3" width="16" customWidth="1"/>
    <col min="4" max="4" width="18" customWidth="1"/>
    <col min="5" max="5" width="18" customWidth="1"/>
    <col min="6" max="6" width="16" customWidth="1"/>
  </cols>
  <sheetData>
    <row r="1">
      <c r="A1" s="2" t="inlineStr">
        <is>
          <t xml:space="preserve">Sensitivity of the main result: one input at a time</t>
        </is>
      </c>
    </row>
    <row r="2">
      <c r="A2" s="10" t="inlineStr">
        <is>
          <t xml:space="preserve">Each row reads the Model's scenario columns. Rows are sorted by swing (largest first).</t>
        </is>
      </c>
    </row>
    <row r="4">
      <c r="A4" s="1" t="inlineStr">
        <is>
          <t xml:space="preserve">Input</t>
        </is>
      </c>
      <c r="B4" s="1" t="inlineStr">
        <is>
          <t xml:space="preserve">Low value</t>
        </is>
      </c>
      <c r="C4" s="1" t="inlineStr">
        <is>
          <t xml:space="preserve">High value</t>
        </is>
      </c>
      <c r="D4" s="1" t="inlineStr">
        <is>
          <t xml:space="preserve">NPV at low</t>
        </is>
      </c>
      <c r="E4" s="1" t="inlineStr">
        <is>
          <t xml:space="preserve">NPV at high</t>
        </is>
      </c>
      <c r="F4" s="1" t="inlineStr">
        <is>
          <t xml:space="preserve">Swing</t>
        </is>
      </c>
    </row>
    <row r="5">
      <c r="A5" s="0" t="inlineStr">
        <is>
          <t xml:space="preserve">Up-front cost</t>
        </is>
      </c>
      <c r="B5" s="3">
        <f>Model!D18</f>
        <v>649534.7725250986</v>
      </c>
      <c r="C5" s="3">
        <f>Model!E18</f>
        <v>1082557.9542084977</v>
      </c>
      <c r="D5" s="3">
        <f>Model!D46</f>
        <v>-559812.5729052804</v>
      </c>
      <c r="E5" s="3">
        <f>Model!E46</f>
        <v>-992835.7545886794</v>
      </c>
      <c r="F5" s="3">
        <f>ABS(E5-D5)</f>
        <v>433023.181683399</v>
      </c>
    </row>
    <row r="6">
      <c r="A6" s="0" t="inlineStr">
        <is>
          <t xml:space="preserve">Average electricity price</t>
        </is>
      </c>
      <c r="B6" s="7">
        <f>Model!H15</f>
        <v>0.08936</v>
      </c>
      <c r="C6" s="7">
        <f>Model!I15</f>
        <v>0.13404</v>
      </c>
      <c r="D6" s="3">
        <f>Model!H46</f>
        <v>-876264.7658082207</v>
      </c>
      <c r="E6" s="3">
        <f>Model!I46</f>
        <v>-676383.5616857393</v>
      </c>
      <c r="F6" s="3">
        <f>ABS(E6-D6)</f>
        <v>199881.2041224814</v>
      </c>
    </row>
    <row r="7">
      <c r="A7" s="0" t="inlineStr">
        <is>
          <t xml:space="preserve">Battery's cut in the billed peak</t>
        </is>
      </c>
      <c r="B7" s="4">
        <f>Model!P10</f>
        <v>0.3</v>
      </c>
      <c r="C7" s="4">
        <f>Model!Q10</f>
        <v>0.9</v>
      </c>
      <c r="D7" s="3">
        <f>Model!P46</f>
        <v>-860683.3954426949</v>
      </c>
      <c r="E7" s="3">
        <f>Model!Q46</f>
        <v>-691964.9320512649</v>
      </c>
      <c r="F7" s="3">
        <f>ABS(E7-D7)</f>
        <v>168718.46339142998</v>
      </c>
    </row>
    <row r="8">
      <c r="A8" s="0" t="inlineStr">
        <is>
          <t xml:space="preserve">Upkeep, solar and battery ($ a year)</t>
        </is>
      </c>
      <c r="B8" s="3">
        <f>Model!R39</f>
        <v>11229.12664154128</v>
      </c>
      <c r="C8" s="3">
        <f>Model!S39</f>
        <v>18715.211069235465</v>
      </c>
      <c r="D8" s="3">
        <f>Model!R46</f>
        <v>-717850.0590498005</v>
      </c>
      <c r="E8" s="3">
        <f>Model!S46</f>
        <v>-834798.2684441593</v>
      </c>
      <c r="F8" s="3">
        <f>ABS(E8-D8)</f>
        <v>116948.2093943588</v>
      </c>
    </row>
    <row r="9">
      <c r="A9" s="0" t="inlineStr">
        <is>
          <t xml:space="preserve">Demand charge (pre-project bill held)</t>
        </is>
      </c>
      <c r="B9" s="3">
        <f>Model!F16</f>
        <v>5.0</v>
      </c>
      <c r="C9" s="3">
        <f>Model!G16</f>
        <v>20.0</v>
      </c>
      <c r="D9" s="3">
        <f>Model!F46</f>
        <v>-753316.5892891686</v>
      </c>
      <c r="E9" s="3">
        <f>Model!G46</f>
        <v>-822339.3126626026</v>
      </c>
      <c r="F9" s="3">
        <f>ABS(E9-D9)</f>
        <v>69022.72337343404</v>
      </c>
    </row>
    <row r="10">
      <c r="A10" s="0" t="inlineStr">
        <is>
          <t xml:space="preserve">Solar capacity factor</t>
        </is>
      </c>
      <c r="B10" s="4">
        <f>Model!L6</f>
        <v>0.1602</v>
      </c>
      <c r="C10" s="4">
        <f>Model!M6</f>
        <v>0.1958</v>
      </c>
      <c r="D10" s="3">
        <f>Model!L46</f>
        <v>-809985.5288450669</v>
      </c>
      <c r="E10" s="3">
        <f>Model!M46</f>
        <v>-742662.7986488929</v>
      </c>
      <c r="F10" s="3">
        <f>ABS(E10-D10)</f>
        <v>67322.730196174</v>
      </c>
    </row>
    <row r="11">
      <c r="A11" s="0" t="inlineStr">
        <is>
          <t xml:space="preserve">Share used at the school</t>
        </is>
      </c>
      <c r="B11" s="4">
        <f>Model!N7</f>
        <v>0.6</v>
      </c>
      <c r="C11" s="4">
        <f>Model!O7</f>
        <v>0.9</v>
      </c>
      <c r="D11" s="3">
        <f>Model!N46</f>
        <v>-807108.0987213498</v>
      </c>
      <c r="E11" s="3">
        <f>Model!O46</f>
        <v>-745540.2287726102</v>
      </c>
      <c r="F11" s="3">
        <f>ABS(E11-D11)</f>
        <v>61567.86994873965</v>
      </c>
    </row>
    <row r="12">
      <c r="A12" s="0" t="inlineStr">
        <is>
          <t xml:space="preserve">Discount rate</t>
        </is>
      </c>
      <c r="B12" s="4">
        <f>Model!J22</f>
        <v>0.02</v>
      </c>
      <c r="C12" s="4">
        <f>Model!K22</f>
        <v>0.07</v>
      </c>
      <c r="D12" s="3">
        <f>Model!J46</f>
        <v>-754803.8015929332</v>
      </c>
      <c r="E12" s="3">
        <f>Model!K46</f>
        <v>-790985.3395598878</v>
      </c>
      <c r="F12" s="3">
        <f>ABS(E12-D12)</f>
        <v>36181.53796695452</v>
      </c>
    </row>
    <row r="14">
      <c r="A14" s="11" t="inlineStr">
        <is>
          <t xml:space="preserve">Base NPV</t>
        </is>
      </c>
      <c r="D14" s="9">
        <f>Model!C46</f>
        <v>-776324.16374698</v>
      </c>
    </row>
    <row r="15">
      <c r="A15" s="0" t="inlineStr">
        <is>
          <t xml:space="preserve">Lowest and highest NPV in any one swing</t>
        </is>
      </c>
      <c r="D15" s="3">
        <f>MIN(D5:E12)</f>
        <v>-992835.7545886794</v>
      </c>
      <c r="E15" s="3">
        <f>MAX(D5:E12)</f>
        <v>-559812.5729052804</v>
      </c>
    </row>
  </sheetData>
</worksheet>
</file>

<file path=docProps/core.xml><?xml version="1.0" encoding="utf-8"?>
<cp:coreProperties xmlns:cp="http://schemas.openxmlformats.org/package/2006/metadata/core-properties" xmlns:dc="http://purl.org/dc/elements/1.1/" xmlns:dcterms="http://purl.org/dc/terms/" xmlns:xsi="http://www.w3.org/2001/XMLSchema-instance">
  <dc:title>CK-A worked solution: a school's solar + battery</dc:title>
  <dc:creator>Honglin Li</dc:creator>
  <dcterms:created xsi:type="dcterms:W3CDTF">2026-11-06T00:00:00Z</dcterms:created>
  <dcterms:modified xsi:type="dcterms:W3CDTF">2026-11-06T00:00:00Z</dcterms:modified>
</cp:coreProperties>
</file>